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_WebPage\_Business Sites\oldphoto.COM\pages\"/>
    </mc:Choice>
  </mc:AlternateContent>
  <bookViews>
    <workbookView xWindow="-15" yWindow="780" windowWidth="23190" windowHeight="11370"/>
  </bookViews>
  <sheets>
    <sheet name="Slides and Prints Scanning" sheetId="1" r:id="rId1"/>
    <sheet name="Slides to Prints" sheetId="13" r:id="rId2"/>
    <sheet name="Calculations" sheetId="9" r:id="rId3"/>
    <sheet name="Order Form" sheetId="10" r:id="rId4"/>
    <sheet name="test" sheetId="8" r:id="rId5"/>
    <sheet name="Control sheet" sheetId="2" r:id="rId6"/>
    <sheet name="Dropdown lists" sheetId="4" r:id="rId7"/>
    <sheet name="Conditional Formatting" sheetId="6" r:id="rId8"/>
    <sheet name="Group box with buttons" sheetId="5" r:id="rId9"/>
    <sheet name="Changes to make" sheetId="7" r:id="rId10"/>
    <sheet name="Check boxes" sheetId="3" r:id="rId11"/>
    <sheet name="_SSC" sheetId="11" state="veryHidden" r:id="rId12"/>
    <sheet name="_Options" sheetId="12" state="veryHidden" r:id="rId13"/>
  </sheets>
  <externalReferences>
    <externalReference r:id="rId14"/>
  </externalReferences>
  <definedNames>
    <definedName name="_Ctrl_1" localSheetId="1" hidden="1">'Slides to Prints'!$C$36</definedName>
    <definedName name="_Ctrl_1" hidden="1">'Slides and Prints Scanning'!#REF!</definedName>
    <definedName name="_Ctrl_10" hidden="1">'Slides and Prints Scanning'!$B$80</definedName>
    <definedName name="_Ctrl_11" localSheetId="1" hidden="1">'Slides to Prints'!$C$31</definedName>
    <definedName name="_Ctrl_11" hidden="1">'Slides and Prints Scanning'!#REF!</definedName>
    <definedName name="_Ctrl_12" hidden="1">'Slides and Prints Scanning'!$B$42</definedName>
    <definedName name="_Ctrl_13" hidden="1">'Slides and Prints Scanning'!$E$64</definedName>
    <definedName name="_Ctrl_3" localSheetId="1" hidden="1">'Slides to Prints'!$D$11</definedName>
    <definedName name="_Ctrl_3" hidden="1">'Slides and Prints Scanning'!$B$22</definedName>
    <definedName name="_Ctrl_4" localSheetId="1" hidden="1">'Slides to Prints'!$D$12</definedName>
    <definedName name="_Ctrl_4" hidden="1">'Slides and Prints Scanning'!$B$23</definedName>
    <definedName name="_Ctrl_5" localSheetId="1" hidden="1">'Slides to Prints'!$C$11</definedName>
    <definedName name="_Ctrl_5" hidden="1">'Slides and Prints Scanning'!$B$7</definedName>
    <definedName name="_Ctrl_6" localSheetId="1" hidden="1">'Slides to Prints'!$C$7</definedName>
    <definedName name="_Ctrl_6" hidden="1">'Slides and Prints Scanning'!#REF!</definedName>
    <definedName name="_Ctrl_7" hidden="1">'Slides and Prints Scanning'!#REF!</definedName>
    <definedName name="_Ctrl_8" hidden="1">'Slides and Prints Scanning'!$B$6</definedName>
    <definedName name="_Ctrl_9" localSheetId="1" hidden="1">'Slides to Prints'!$U$27</definedName>
    <definedName name="_Ctrl_9" hidden="1">'Slides and Prints Scanning'!$B$15</definedName>
    <definedName name="_xlnm._FilterDatabase" localSheetId="0" hidden="1">Calculations!$G$27:$G$28</definedName>
    <definedName name="_xlnm._FilterDatabase" localSheetId="1" hidden="1">'Slides to Prints'!$M$33:$M$34</definedName>
    <definedName name="_inputcolorcell" localSheetId="1" hidden="1">'Slides to Prints'!$C$8</definedName>
    <definedName name="_inputcolorcell" hidden="1">'Slides and Prints Scanning'!$C$57</definedName>
    <definedName name="_options1">_Options!$A$1:$A$2</definedName>
    <definedName name="_options2">_Options!$B$1:$B$2</definedName>
    <definedName name="_options24">[1]_Options!$X$1:$X$2</definedName>
    <definedName name="_options3">_Options!$C$1:$C$2</definedName>
    <definedName name="DiskList">Calculations!$A$3:$A$9</definedName>
    <definedName name="DiskLookup">Calculations!$A$3:$B$8</definedName>
    <definedName name="DuplicateSelections">Calculations!$A$12:$A$13</definedName>
  </definedNames>
  <calcPr calcId="152511" iterate="1"/>
</workbook>
</file>

<file path=xl/calcChain.xml><?xml version="1.0" encoding="utf-8"?>
<calcChain xmlns="http://schemas.openxmlformats.org/spreadsheetml/2006/main">
  <c r="C49" i="13" l="1"/>
  <c r="C48" i="13"/>
  <c r="C47" i="13"/>
  <c r="F44" i="13"/>
  <c r="G39" i="13"/>
  <c r="G37" i="13"/>
  <c r="N32" i="13"/>
  <c r="G32" i="13"/>
  <c r="G29" i="13"/>
  <c r="G28" i="13"/>
  <c r="G27" i="13"/>
  <c r="G31" i="13" s="1"/>
  <c r="G26" i="13"/>
  <c r="E23" i="13"/>
  <c r="G21" i="13"/>
  <c r="G20" i="13"/>
  <c r="G19" i="13"/>
  <c r="G22" i="13" s="1"/>
  <c r="G23" i="13" s="1"/>
  <c r="D16" i="13"/>
  <c r="G7" i="13"/>
  <c r="F7" i="13"/>
  <c r="E7" i="13"/>
  <c r="D7" i="13"/>
  <c r="G6" i="13"/>
  <c r="F6" i="13"/>
  <c r="E6" i="13"/>
  <c r="D6" i="13"/>
  <c r="C6" i="13"/>
  <c r="G5" i="13"/>
  <c r="D5" i="13"/>
  <c r="G4" i="13"/>
  <c r="D3" i="13"/>
  <c r="D4" i="13" l="1"/>
  <c r="F25" i="13"/>
  <c r="E28" i="13"/>
  <c r="E26" i="13"/>
  <c r="E27" i="13"/>
  <c r="I35" i="13"/>
  <c r="F5" i="13"/>
  <c r="E5" i="13"/>
  <c r="G33" i="13"/>
  <c r="K35" i="13" l="1"/>
  <c r="H35" i="13" s="1"/>
  <c r="G35" i="13" s="1"/>
  <c r="G38" i="13" s="1"/>
  <c r="G40" i="13" s="1"/>
  <c r="G42" i="13" l="1"/>
  <c r="G41" i="13"/>
  <c r="D1" i="13"/>
  <c r="G2" i="13" l="1"/>
  <c r="E46" i="13"/>
  <c r="F66" i="1" l="1"/>
  <c r="F32" i="1" l="1"/>
  <c r="F3" i="1" l="1"/>
  <c r="D53" i="1" l="1"/>
  <c r="F20" i="1" l="1"/>
  <c r="L11" i="7" l="1"/>
  <c r="B57" i="1"/>
  <c r="C6" i="1" l="1"/>
  <c r="D56" i="1" l="1"/>
  <c r="F19" i="1" l="1"/>
  <c r="F21" i="1"/>
  <c r="C54" i="1" l="1"/>
  <c r="G54" i="1"/>
  <c r="E5" i="10"/>
  <c r="H26" i="9"/>
  <c r="E12" i="10"/>
  <c r="E11" i="10"/>
  <c r="B10" i="10"/>
  <c r="E8" i="10"/>
  <c r="E7" i="10"/>
  <c r="E6" i="10"/>
  <c r="E2" i="10"/>
  <c r="E2" i="1"/>
  <c r="C2" i="1"/>
  <c r="D34" i="1"/>
  <c r="F51" i="1"/>
  <c r="F6" i="1" s="1"/>
  <c r="D44" i="1"/>
  <c r="F44" i="1" s="1"/>
  <c r="F45" i="1" s="1"/>
  <c r="C7" i="1" s="1"/>
  <c r="C3" i="8"/>
  <c r="D3" i="8" s="1"/>
  <c r="D4" i="8"/>
  <c r="C4" i="8"/>
  <c r="C5" i="8"/>
  <c r="D5" i="8"/>
  <c r="C6" i="8"/>
  <c r="D6" i="8" s="1"/>
  <c r="C2" i="8"/>
  <c r="D2" i="8" s="1"/>
  <c r="F27" i="1"/>
  <c r="D51" i="1"/>
  <c r="F22" i="1"/>
  <c r="F33" i="1" s="1"/>
  <c r="F23" i="1"/>
  <c r="F24" i="1"/>
  <c r="F25" i="1"/>
  <c r="F26" i="1"/>
  <c r="F29" i="1"/>
  <c r="F30" i="1"/>
  <c r="F31" i="1"/>
  <c r="F37" i="1"/>
  <c r="F38" i="1"/>
  <c r="F39" i="1"/>
  <c r="F40" i="1"/>
  <c r="F46" i="1"/>
  <c r="D6" i="1" s="1"/>
  <c r="F48" i="1"/>
  <c r="F50" i="1"/>
  <c r="F61" i="1"/>
  <c r="C4" i="1"/>
  <c r="F68" i="1"/>
  <c r="E7" i="1" s="1"/>
  <c r="E70" i="1"/>
  <c r="C3" i="1"/>
  <c r="A1" i="7"/>
  <c r="C1" i="7"/>
  <c r="A2" i="7"/>
  <c r="B2" i="7"/>
  <c r="C2" i="7"/>
  <c r="D2" i="7"/>
  <c r="A3" i="7"/>
  <c r="B3" i="7"/>
  <c r="C3" i="7"/>
  <c r="D3" i="7"/>
  <c r="A4" i="7"/>
  <c r="B4" i="7"/>
  <c r="C4" i="7"/>
  <c r="D4" i="7"/>
  <c r="E9" i="7"/>
  <c r="G9" i="7"/>
  <c r="D11" i="7"/>
  <c r="B10" i="7"/>
  <c r="D10" i="7"/>
  <c r="E10" i="7"/>
  <c r="F10" i="7"/>
  <c r="I11" i="7"/>
  <c r="J11" i="7"/>
  <c r="K11" i="7"/>
  <c r="B12" i="7"/>
  <c r="D14" i="7"/>
  <c r="F14" i="7"/>
  <c r="G16" i="7" s="1"/>
  <c r="D15" i="7"/>
  <c r="F15" i="7" s="1"/>
  <c r="D16" i="7"/>
  <c r="F16" i="7"/>
  <c r="B19" i="7"/>
  <c r="C19" i="7"/>
  <c r="C20" i="7"/>
  <c r="F20" i="7"/>
  <c r="M20" i="7"/>
  <c r="H22" i="7"/>
  <c r="I22" i="7"/>
  <c r="M22" i="7"/>
  <c r="F7" i="1"/>
  <c r="C17" i="1"/>
  <c r="E77" i="1"/>
  <c r="B82" i="1"/>
  <c r="B83" i="1"/>
  <c r="B84" i="1"/>
  <c r="D9" i="7"/>
  <c r="C10" i="10"/>
  <c r="E10" i="10" s="1"/>
  <c r="F17" i="7" l="1"/>
  <c r="F19" i="7" s="1"/>
  <c r="F21" i="7" s="1"/>
  <c r="E34" i="9"/>
  <c r="C39" i="9"/>
  <c r="C38" i="9" s="1"/>
  <c r="E54" i="1" s="1"/>
  <c r="D34" i="9"/>
  <c r="F42" i="1"/>
  <c r="F34" i="1"/>
  <c r="B34" i="9"/>
  <c r="E22" i="9"/>
  <c r="C34" i="9"/>
  <c r="B39" i="9"/>
  <c r="B38" i="9" s="1"/>
  <c r="D29" i="9"/>
  <c r="J22" i="7" l="1"/>
  <c r="G22" i="7" s="1"/>
  <c r="F22" i="7" s="1"/>
  <c r="L19" i="7"/>
  <c r="D5" i="1"/>
  <c r="D4" i="1"/>
  <c r="E6" i="1"/>
  <c r="C8" i="1"/>
  <c r="C5" i="1"/>
  <c r="C29" i="9"/>
  <c r="G22" i="9"/>
  <c r="I22" i="9" s="1"/>
  <c r="D54" i="1" s="1"/>
  <c r="F52" i="1"/>
  <c r="D57" i="1" l="1"/>
  <c r="H22" i="9"/>
  <c r="I23" i="9"/>
  <c r="F23" i="9"/>
  <c r="F54" i="1"/>
  <c r="E57" i="1" l="1"/>
  <c r="D7" i="1" s="1"/>
  <c r="F57" i="1"/>
  <c r="F58" i="1" s="1"/>
  <c r="F60" i="1" s="1"/>
  <c r="H29" i="9" s="1"/>
  <c r="F62" i="1" l="1"/>
  <c r="G26" i="9" s="1"/>
  <c r="E29" i="9" l="1"/>
  <c r="B29" i="9" s="1"/>
  <c r="F64" i="1" s="1"/>
  <c r="F67" i="1" s="1"/>
  <c r="F69" i="1" s="1"/>
  <c r="F70" i="1" s="1"/>
  <c r="F71" i="1" l="1"/>
  <c r="C1" i="1"/>
  <c r="D2" i="1"/>
  <c r="D81" i="1"/>
</calcChain>
</file>

<file path=xl/comments1.xml><?xml version="1.0" encoding="utf-8"?>
<comments xmlns="http://schemas.openxmlformats.org/spreadsheetml/2006/main">
  <authors>
    <author>ed</author>
  </authors>
  <commentList>
    <comment ref="D4" authorId="0" shapeId="0">
      <text>
        <r>
          <rPr>
            <b/>
            <sz val="9"/>
            <color indexed="81"/>
            <rFont val="Tahoma"/>
            <family val="2"/>
          </rPr>
          <t>Choose your Media Storage type on Line #51.</t>
        </r>
        <r>
          <rPr>
            <sz val="9"/>
            <color indexed="81"/>
            <rFont val="Tahoma"/>
            <family val="2"/>
          </rPr>
          <t xml:space="preserve">
</t>
        </r>
      </text>
    </comment>
    <comment ref="C8" authorId="0" shapeId="0">
      <text>
        <r>
          <rPr>
            <b/>
            <sz val="9"/>
            <color indexed="81"/>
            <rFont val="Tahoma"/>
            <family val="2"/>
          </rPr>
          <t>Change this option on line #41</t>
        </r>
        <r>
          <rPr>
            <sz val="9"/>
            <color indexed="81"/>
            <rFont val="Tahoma"/>
            <family val="2"/>
          </rPr>
          <t xml:space="preserve">
</t>
        </r>
      </text>
    </comment>
    <comment ref="B32" authorId="0" shapeId="0">
      <text>
        <r>
          <rPr>
            <b/>
            <sz val="9"/>
            <color indexed="81"/>
            <rFont val="Tahoma"/>
            <family val="2"/>
          </rPr>
          <t>Click here for info about scanning Photo Album Pages.</t>
        </r>
        <r>
          <rPr>
            <sz val="9"/>
            <color indexed="81"/>
            <rFont val="Tahoma"/>
            <family val="2"/>
          </rPr>
          <t xml:space="preserve">
</t>
        </r>
      </text>
    </comment>
    <comment ref="B53" authorId="0" shapeId="0">
      <text>
        <r>
          <rPr>
            <b/>
            <sz val="9"/>
            <color indexed="81"/>
            <rFont val="Tahoma"/>
            <family val="2"/>
          </rPr>
          <t>Click on the pulldown arrow to select Media type you want.</t>
        </r>
        <r>
          <rPr>
            <sz val="9"/>
            <color indexed="81"/>
            <rFont val="Tahoma"/>
            <family val="2"/>
          </rPr>
          <t xml:space="preserve">
</t>
        </r>
      </text>
    </comment>
    <comment ref="R53" authorId="0" shapeId="0">
      <text>
        <r>
          <rPr>
            <b/>
            <sz val="9"/>
            <color indexed="81"/>
            <rFont val="Tahoma"/>
            <family val="2"/>
          </rPr>
          <t>ed:</t>
        </r>
        <r>
          <rPr>
            <sz val="9"/>
            <color indexed="81"/>
            <rFont val="Tahoma"/>
            <family val="2"/>
          </rPr>
          <t xml:space="preserve">
Clear image spacers in cells to the left and D48
</t>
        </r>
      </text>
    </comment>
    <comment ref="B54" authorId="0" shapeId="0">
      <text>
        <r>
          <rPr>
            <b/>
            <sz val="9"/>
            <color indexed="81"/>
            <rFont val="Tahoma"/>
            <family val="2"/>
          </rPr>
          <t>This is a PULL DOWN menu. Use it to select your media type.</t>
        </r>
        <r>
          <rPr>
            <sz val="9"/>
            <color indexed="81"/>
            <rFont val="Tahoma"/>
            <family val="2"/>
          </rPr>
          <t xml:space="preserve">
</t>
        </r>
      </text>
    </comment>
    <comment ref="B56" authorId="0" shapeId="0">
      <text>
        <r>
          <rPr>
            <b/>
            <sz val="9"/>
            <color indexed="81"/>
            <rFont val="Tahoma"/>
            <family val="2"/>
          </rPr>
          <t>Click the pulldown arrow to choose duplicate disks.</t>
        </r>
        <r>
          <rPr>
            <sz val="9"/>
            <color indexed="81"/>
            <rFont val="Tahoma"/>
            <family val="2"/>
          </rPr>
          <t xml:space="preserve">
</t>
        </r>
      </text>
    </comment>
  </commentList>
</comments>
</file>

<file path=xl/comments2.xml><?xml version="1.0" encoding="utf-8"?>
<comments xmlns="http://schemas.openxmlformats.org/spreadsheetml/2006/main">
  <authors>
    <author>ed</author>
  </authors>
  <commentList>
    <comment ref="C1" authorId="0" shapeId="0">
      <text>
        <r>
          <rPr>
            <b/>
            <sz val="9"/>
            <color indexed="81"/>
            <rFont val="Tahoma"/>
            <family val="2"/>
          </rPr>
          <t>Yes, even if you only have one slide, we can scan it and make prints. Minimum pricing applies.</t>
        </r>
        <r>
          <rPr>
            <sz val="9"/>
            <color indexed="81"/>
            <rFont val="Tahoma"/>
            <family val="2"/>
          </rPr>
          <t xml:space="preserve">
</t>
        </r>
      </text>
    </comment>
    <comment ref="D3" authorId="0" shapeId="0">
      <text>
        <r>
          <rPr>
            <b/>
            <sz val="9"/>
            <color indexed="81"/>
            <rFont val="Tahoma"/>
            <family val="2"/>
          </rPr>
          <t>NOTE: Your slides may not fit exactly on the print size you select. We can crop to fit or leave white on two sides. Our default is to CROP using our judgement. Select Do Not Crop on line #31 if you want white on two sides of the prints.</t>
        </r>
        <r>
          <rPr>
            <sz val="9"/>
            <color indexed="81"/>
            <rFont val="Tahoma"/>
            <family val="2"/>
          </rPr>
          <t xml:space="preserve">
</t>
        </r>
      </text>
    </comment>
    <comment ref="C6" authorId="0" shapeId="0">
      <text>
        <r>
          <rPr>
            <b/>
            <sz val="9"/>
            <color indexed="81"/>
            <rFont val="Tahoma"/>
            <family val="2"/>
          </rPr>
          <t>NOTE: Your slides may not fit exactly on the print size you select. We can crop to fit or leave white on two sides. Our default is to CROP using our judgement. Select Do Not Crop on line #31 if you want white on two sides of the prints.</t>
        </r>
      </text>
    </comment>
    <comment ref="C30" authorId="0" shapeId="0">
      <text>
        <r>
          <rPr>
            <b/>
            <sz val="9"/>
            <color indexed="81"/>
            <rFont val="Tahoma"/>
            <family val="2"/>
          </rPr>
          <t>NOTE: Your slides may not fit exactly on the print size you select. We can crop to fit or leave white on two sides. Our default is to CROP. Select Do Not Crop on line #31 if you want white on two sides.</t>
        </r>
      </text>
    </comment>
  </commentList>
</comments>
</file>

<file path=xl/sharedStrings.xml><?xml version="1.0" encoding="utf-8"?>
<sst xmlns="http://schemas.openxmlformats.org/spreadsheetml/2006/main" count="337" uniqueCount="254">
  <si>
    <t>Copy below from order-form.xls</t>
  </si>
  <si>
    <t>Check Sales Taxes</t>
  </si>
  <si>
    <t>Check postage costs</t>
  </si>
  <si>
    <r>
      <t>Shipping</t>
    </r>
    <r>
      <rPr>
        <sz val="8"/>
        <rFont val="Arial"/>
        <family val="2"/>
      </rPr>
      <t xml:space="preserve"> is estimated and will be determined by the final weight and distance. We don't know what your job will weigh but return shipping should be very close to what it costs you to send to us.</t>
    </r>
  </si>
  <si>
    <r>
      <t>Thumbnail Catalog</t>
    </r>
    <r>
      <rPr>
        <sz val="8"/>
        <rFont val="Arial"/>
        <family val="2"/>
      </rPr>
      <t xml:space="preserve"> Set Printout. 30 images per page</t>
    </r>
  </si>
  <si>
    <t>NAME or TITLE desired on disk?
If you do not specify a title, we will title as "Family Photos"</t>
  </si>
  <si>
    <t>Making Photo Prints: Min. $10 combined.
Must be Scanned First. 
Scanning is NOT included in pricing below. See above.</t>
  </si>
  <si>
    <r>
      <t xml:space="preserve">Inter-Mix </t>
    </r>
    <r>
      <rPr>
        <sz val="8"/>
        <rFont val="Arial"/>
        <family val="2"/>
      </rPr>
      <t>dissimilar mediums.
Ex: paper photos with slides. 127 slides with regular slides</t>
    </r>
  </si>
  <si>
    <t>This is an option for those that need it. $1 per insertion.</t>
  </si>
  <si>
    <t>Click for info on "Inter-Mixing"</t>
  </si>
  <si>
    <t>3061 Providence St.</t>
  </si>
  <si>
    <t>Sun Prairie Office
Affordable Old Photo
3061 Providence St.
Sun Prairie, WI 53590
Call to Drop off: 800-844-1393</t>
  </si>
  <si>
    <t>Sun Prairie, WI 53590</t>
  </si>
  <si>
    <t>Call or Email for Sun Prairie:
Drop Off Appointment:</t>
  </si>
  <si>
    <t>110 slides. 1 1/8" x 1 1/8" holders</t>
  </si>
  <si>
    <t>110 slides. 2" x 2" holders</t>
  </si>
  <si>
    <t>828 slides (slightly larger film area than 35mm both ways, 2"x2" holder)</t>
  </si>
  <si>
    <t>Number of up to 8x10" Paper Photos to Scan
Includes Newspaper articles</t>
  </si>
  <si>
    <r>
      <t xml:space="preserve">No extra charge for slides shipped in carousels with </t>
    </r>
    <r>
      <rPr>
        <b/>
        <sz val="10"/>
        <rFont val="Arial"/>
        <family val="2"/>
      </rPr>
      <t>80 or 140</t>
    </r>
    <r>
      <rPr>
        <sz val="10"/>
        <rFont val="Arial"/>
        <family val="2"/>
      </rPr>
      <t xml:space="preserve"> slide slots.</t>
    </r>
  </si>
  <si>
    <t>GB</t>
  </si>
  <si>
    <t>MB</t>
  </si>
  <si>
    <t>image size</t>
  </si>
  <si>
    <t>total scans</t>
  </si>
  <si>
    <t>Scans per GB</t>
  </si>
  <si>
    <t>scans divided by GB</t>
  </si>
  <si>
    <t>Increments of 4</t>
  </si>
  <si>
    <t>Rounded</t>
  </si>
  <si>
    <r>
      <t xml:space="preserve">Create a drop-down list from a range of cells   
Show All
Hide All
To make data entry easier, or to limit entries to certain items that you define, you can create a drop-down list of valid entries that is compiled from cells elsewhere on the worksheet. When you create a drop-down list for a cell, it displays an arrow next to that cell. To enter information in that cell, click the arrow, and then click the entry that you want. 
To create a drop-down list from a range of cells, </t>
    </r>
    <r>
      <rPr>
        <b/>
        <sz val="14"/>
        <color indexed="12"/>
        <rFont val="Arial"/>
        <family val="2"/>
      </rPr>
      <t>use the Validation command under the Data menu.</t>
    </r>
    <r>
      <rPr>
        <sz val="14"/>
        <rFont val="Arial"/>
        <family val="2"/>
      </rPr>
      <t xml:space="preserve">
To create a list of valid entries for the drop-down list, type the entries in a single column or row without blank cells. For example:  A 
1 Sales 
2 Finance 
3 R&amp;D 
4 MIS 
 Note   You may want to sort the data in the order that you want it to appear in the drop-down list.
If you want to use another worksheet or another workbook, do one of the following:
Use a different worksheet in the same workbook   Type the list on that worksheet, and then define a name (name: A word or string of characters that represents a cell, range of cells, formula, or constant value. Use easy-to-understand names, such as Products, to refer to hard to understand ranges, such as Sales!C20:C30.) for the list.
How?
Select the cell, range of cells, or nonadjacent selections (nonadjacent selection: A selection of two or more cells or ranges that don't touch each other. When plotting nonadjacent selections in a chart, make sure that the combined selections form a rectangular shape.) that you want to name. 
Click the Name box at the left end of the formula bar (formula bar: A bar at the top of the Excel window that you use to enter or edit values or formulas in cells or charts. Displays the constant value or formula stored in the active cell.). 
 Name box
Type the name for the cells, for example, ValidDepts. 
Press ENTER. 
 Note   You cannot name a cell while you are changing the contents of the cell.
Use a different worksheet in a different workbook  Type the list on that worksheet, and then define a name with an external reference to the list. 
How?
</t>
    </r>
  </si>
  <si>
    <t>Cost Per</t>
  </si>
  <si>
    <t>Sub Total:</t>
  </si>
  <si>
    <t>Wis. Residents pay Wis. Sales Taxes</t>
  </si>
  <si>
    <t>4"x6" photo prints</t>
  </si>
  <si>
    <t>5"x7" photo prints</t>
  </si>
  <si>
    <t>Balance Due at completion:</t>
  </si>
  <si>
    <t>Click anywhere on the page to update at any time.</t>
  </si>
  <si>
    <t>Sets Wanted</t>
  </si>
  <si>
    <t>Disks needed</t>
  </si>
  <si>
    <t>$ per disk</t>
  </si>
  <si>
    <t>Total Scans:</t>
  </si>
  <si>
    <t>Link from "do my slide prep for me on sheet one"</t>
  </si>
  <si>
    <t>Waupun, WI 53963</t>
  </si>
  <si>
    <t>Click the page to update.</t>
  </si>
  <si>
    <t>Click the page to update totals.</t>
  </si>
  <si>
    <t>Priority Mail is generally the best price for shipping orders under 5 lbs.</t>
  </si>
  <si>
    <t>UPS</t>
  </si>
  <si>
    <t>If you feel that we made you a promise of some sort, by telephone or email,
please explain this in the box below. (Please type on-line, if possible.)</t>
  </si>
  <si>
    <t>Priority Mail</t>
  </si>
  <si>
    <t>Enter #</t>
  </si>
  <si>
    <t>Affordable Old Photo</t>
  </si>
  <si>
    <t>Number of up to 5x7" Paper Photos to Scan</t>
  </si>
  <si>
    <t>We can work with you on what you need. Call if you don't see it listed.</t>
  </si>
  <si>
    <t>If I chose the DVD Slide Show, above, I do NOT want music on my DVD slide show disks.</t>
  </si>
  <si>
    <t xml:space="preserve">If I chose the DVD Slide Show, I WANT you to use your tasteful and non-intrusive music </t>
  </si>
  <si>
    <t>Please Read Carefully:</t>
  </si>
  <si>
    <t>NO CHARGE!</t>
  </si>
  <si>
    <t>DUPLICATES or Extra disk sets</t>
  </si>
  <si>
    <t>Print this page and send it with your order. If you did not already make arrangements, you will be added to the end of our schedule when your job arrives. It is assumed that you have read and understand our FAQ page.</t>
  </si>
  <si>
    <t>Please send a personal check or Money Order or Bank Check with your order.
If you already paid a partial deposit, just make up the deposit balance with your order.</t>
  </si>
  <si>
    <r>
      <t>RUSH SERVICE</t>
    </r>
    <r>
      <rPr>
        <sz val="8"/>
        <rFont val="Arial"/>
        <family val="2"/>
      </rPr>
      <t xml:space="preserve">
Send FULL payment as Money Order or Official Bank Check.
Personal checks take 10 days to clear.</t>
    </r>
  </si>
  <si>
    <t>Return Shipping Info</t>
  </si>
  <si>
    <t>Select SLIDE SHOW disk or IMAGES ONLY Data Disk</t>
  </si>
  <si>
    <t>Number of up to 4x6" Paper Photos to Scan</t>
  </si>
  <si>
    <t>Duplicates or Extra Sets Wanted</t>
  </si>
  <si>
    <t>TOTAL</t>
  </si>
  <si>
    <t>Pickup</t>
  </si>
  <si>
    <t>this is from order-form.xls</t>
  </si>
  <si>
    <t>Shipping is estimated and will be determined by the final weight and distance. We don't know what your job will weigh but return shipping should be very close to what it costs you to send to us. We do not profit from return shipping to you.</t>
  </si>
  <si>
    <t>Short cut key to switch display of formaulas is CTRL `</t>
  </si>
  <si>
    <t xml:space="preserve">Open the workbook that contains the list of drop-down entries. 
Open the workbook where you want to validate cells, point to Name on the Insert menu, and then click Define. 
In the Names in workbook box, type the name, for example, ValidDepts. 
Accept the default value in the Refers to: box, and then click OK.
In the Refers to box, delete the contents, and keep the insertion pointer in the box. 
On the Window menu, click the name of the workbook that contains the list of drop-down entries, and then click the worksheet that contains the list. 
Select the cells containing the list. 
In the Define Name dialog box, click Add, and then click Close. 
  Notes  
If several users need to open the workbook simultaneously, set the workbook to read-only recommended when you save it. For more information, see Prompt to open a file as read-only.
The workbook must be open for users to use the validation list. You can record a macro to open it automatically whenever the workbook with the data validation is opened. For more information about creating and using macros, see About macros in Excel.
Select the cell where you want the drop-down list. 
On the Data menu, click Validation, and then click the Settings tab. 
In the Allow box, click List. 
To specify the location of the list of valid entries, do one of the following: 
If the list is in the current worksheet, enter a reference to your list in the Source box. 
If the list is on a different worksheet in the same workbook or a different workbook, enter the name that you defined for your list in the Source box.
In both cases, make sure that the reference or name is preceded with an equal sign (=). For example, enter =ValidDepts. 
Make sure that the In-cell drop-down check box is selected. 
To specify whether the cell can be left blank, select or clear the Ignore blank check box. 
Optionally, display an input message when the cell is clicked.
How?
</t>
  </si>
  <si>
    <t>Click the Input Message tab.
Make sure that the Show input message when cell is selected check box is selected.
Type the title and text for the message (up to 225 characters).
Specify how you want Microsoft Office Excel to respond when invalid data is entered.
How?
Click the Error Alert tab, and make sure that the Show error alert after invalid data is entered check box is selected. 
Select one of the following options for the Style box: 
To display an information message that does not prevent entry of invalid data, click Information.
To display a warning message that does not prevent entry of invalid data, click Warning.
To prevent entry of invalid data, click Stop.
Type the title and text for the message (up to 225 characters). 
 Note   If you don't enter a title or text, the title defaults to "Microsoft Excel" and the message to: "The value you entered is not valid. A user has restricted values that can be entered into this cell."
  Notes  
The width of the drop-down list is determined by the width of the cell that has the data validation. You may need to adjust the width of that cell to prevent truncating the width of valid entries that are wider than the width of the drop-down list.
The maximum number of entries that you can have in a drop-down list is 32,767.
If the validation list is on another worksheet in the same workbook or another workbook and you want to prevent users from seeing it or making changes, consider hiding and protecting that worksheet. For more information, see Display or hide a workbook or sheet and Overview of security and protection in Excel.</t>
  </si>
  <si>
    <t>If you want to pay extra for insurance on your return shipment, enter Ins. $ here:</t>
  </si>
  <si>
    <t>Group Box and Option Buttons</t>
  </si>
  <si>
    <t>The Group Box is a control that is specifically used to keep Option Buttons together and have them work as a group. To illustrate this, let’s go to a new sheet, and add a nice big Group Box:</t>
  </si>
  <si>
    <t>1. Click the Group Box on the Forms toolbar</t>
  </si>
  <si>
    <t>2. Starting at the upper left of cell A3, left click and drag your mouse to cover to the bottom right of D16</t>
  </si>
  <si>
    <t>Now, add six Option Buttons to the group:</t>
  </si>
  <si>
    <t>1. Click Option Button and draw it within the Group Box, starting upper left of B4 to lower right of C4</t>
  </si>
  <si>
    <t>2. Do this 5 more times, on rows 6, 8, 10, 12 and 14</t>
  </si>
  <si>
    <t>3. Change the names, from top to bottom, to Red, Orange, Yellow, Green, Blue, Purple</t>
  </si>
  <si>
    <t>Yes, this was a little painful and tedious, but it gives us a way to present our users with choices. What we want to do now is figure out what choice they made, so right click one of the Option Buttons and choose “Format Control”. If you are not already on the Control tab, select it and notice that you can “Uncheck” the option button should you need to. In addition, we have the option to set a Cell Link here, so let’s set that to E3 and say OK.</t>
  </si>
  <si>
    <t>Before we move on, let’s set up the formula to return the chosen colour. In F3, enter the formula =Index(rngColours,E3).</t>
  </si>
  <si>
    <t>Now, try selecting on of the option buttons. You should see the colour you’ve chosen show up in F3. I should point out that this has nothing to do with the names you assigned to the buttons, and everything to do with the value you chose. This is why we made sure we named the buttons from top to bottom in the order our list was set.</t>
  </si>
  <si>
    <t>A couple of additional points of interest here:</t>
  </si>
  <si>
    <t>1. Only one Option Button within the frame can be selected at a time. If you add a button outside the frame, however, it could be selected as well as one from within the frame. Likewise if you have multiple frames… one in each.</t>
  </si>
  <si>
    <t>2. Only one cell link needed to be set up. This setting affects all option buttons within the frame.
right-click the control, and then click Format Control.
To set the control properties, do the following:
   1. Under Value, specify the initial state of the option button by doing one of the following:
          * To display an option button that is selected, click Checked.
          * To display an option button that is cleared, click Unchecked.
   2. In the Cell link box, enter a cell reference that contains the current state of the option button.
      The linked cell returns the number of the selected option button in the group of options. Use the same linked cell for all options in a group. The first option button returns a 1, the second option button returns a 2, and so on. If you have two or more option groups on the same worksheet, use a different linked cell for each option group.
      Use the returned number in a formula to respond to the selected option.
      For example, a personnel form, with a Job type group box, contains two option buttons labeled Full-time and Part-time linked to cell C1. After a user selects one of the two options, the following formula in cell D1 evaluates to "Full-time" if the first option button is selected or "Part-time" if the second option button is selected.
      =IF(C1=1,"Full-time","Part-time")
      If you have three or more options to evaluate in the same group of options, you can use the CHOOSE or LOOKUP functions in a similar manner.</t>
  </si>
  <si>
    <t># Select the cell.
# Choose Conditional Formatting from the Format menu. Excel displays the Conditional Formatting dialog box</t>
  </si>
  <si>
    <t>Conditional Formatting</t>
  </si>
  <si>
    <t>Select: Shipping Or Pickup:</t>
  </si>
  <si>
    <t>Shts Per Set</t>
  </si>
  <si>
    <t>Click here for Text Frame Info</t>
  </si>
  <si>
    <t>Click here for info about Thumbnail Catalogs</t>
  </si>
  <si>
    <t>Everyone should do the 10 Free</t>
  </si>
  <si>
    <t>Signature:____________________________</t>
  </si>
  <si>
    <t>Sending us your order indicates you have read and agree to our terms and conditions. Click here if you haven't.</t>
  </si>
  <si>
    <t>JPG images on a DVD Data Disk</t>
  </si>
  <si>
    <t>DVD Slide Show Disk with images stored on disk</t>
  </si>
  <si>
    <t>SS disk</t>
  </si>
  <si>
    <t>Disks</t>
  </si>
  <si>
    <t>Select disk type</t>
  </si>
  <si>
    <t>Data disk</t>
  </si>
  <si>
    <t>Music on disk?</t>
  </si>
  <si>
    <t>Initial shipping</t>
  </si>
  <si>
    <t>Thumbnail shipping</t>
  </si>
  <si>
    <t>Prints shipping</t>
  </si>
  <si>
    <t>Percentage</t>
  </si>
  <si>
    <t>Slides &amp; Photos</t>
  </si>
  <si>
    <t>Duplicates or Extra CD data disks instead of DVD data disks</t>
  </si>
  <si>
    <t>Duplicate or Extra DVD DATA Disk Sets</t>
  </si>
  <si>
    <t>Duplicates or Extra DVD Slide Show Disk Sets</t>
  </si>
  <si>
    <t>Total for Dupes</t>
  </si>
  <si>
    <r>
      <t xml:space="preserve">RUSH SERVICE: Work my job on Overtime. I NEED it now.
</t>
    </r>
    <r>
      <rPr>
        <sz val="8"/>
        <rFont val="Arial"/>
        <family val="2"/>
      </rPr>
      <t>Send FULL payment as Money Order or Official Bank Check.
Personal checks take 10 days to clear.</t>
    </r>
  </si>
  <si>
    <t>Call For Drop Off Info For Waupun Office</t>
  </si>
  <si>
    <t>NON USA, including USA territories.
Click Here for important INFO.</t>
  </si>
  <si>
    <t>I want to pay extra to have someone sign for delivery at my location</t>
  </si>
  <si>
    <t>See How To Stack Your Slides. Click Here.</t>
  </si>
  <si>
    <t>Watch our MOVIES so you
STACK your slides correctly. Click here.</t>
  </si>
  <si>
    <t>Call for Waupun drop off: 800-844-1393</t>
  </si>
  <si>
    <t>Waupun Office
Affordable Old Photo
Call For Drop Off Info
Waupun, WI 53963
Call to drop off: 800-844-1393</t>
  </si>
  <si>
    <t>126 slides 2" x 2" holders</t>
  </si>
  <si>
    <t>Half Frame Slides, 2"x2" holders</t>
  </si>
  <si>
    <r>
      <t xml:space="preserve">Please don't forget to include your DEPOSIT.
</t>
    </r>
    <r>
      <rPr>
        <sz val="10"/>
        <rFont val="Arial"/>
        <family val="2"/>
      </rPr>
      <t>Please note that, to keep our prices low, we do not take credit cards.</t>
    </r>
  </si>
  <si>
    <t>Unmounted 35mm Films: No, we don't scan these. But, if you send them anyhow….</t>
  </si>
  <si>
    <t>Note: Because of possible damage,
we do NOT clean your films. Clean with a microfiber cloth before you send them.</t>
  </si>
  <si>
    <t>35mm slides scanned at 4000 ppi will typically have a file size of from 3-10 megs. One dimension of the image will be approx. 5400 pixels.</t>
  </si>
  <si>
    <t>35mm Slides in 2x2" holders, thickness = to or less than the thickness of a "Quarter" coin</t>
  </si>
  <si>
    <t>Price</t>
  </si>
  <si>
    <t>I do NOT want Duplicates</t>
  </si>
  <si>
    <t>I DO want Duplicates</t>
  </si>
  <si>
    <t>Order Form</t>
  </si>
  <si>
    <t>Disks or GB</t>
  </si>
  <si>
    <t>Total</t>
  </si>
  <si>
    <t>DUPLICATE Media: Choose</t>
  </si>
  <si>
    <t>MEDIA: Choose</t>
  </si>
  <si>
    <t>Caluculating Shipping costs</t>
  </si>
  <si>
    <t>JPG only Disk</t>
  </si>
  <si>
    <t>DiskList</t>
  </si>
  <si>
    <t>DiskLookup</t>
  </si>
  <si>
    <t>=if(b51="","'',vlookup(b51,disklookup,2,FALSE))</t>
  </si>
  <si>
    <t>Caluculating GB needed</t>
  </si>
  <si>
    <t>Data DVD Disks
450 per</t>
  </si>
  <si>
    <t>Slide Show NO Music</t>
  </si>
  <si>
    <t>Slide Show with Classical Music</t>
  </si>
  <si>
    <t>No charge</t>
  </si>
  <si>
    <t>I DO want Duplicate Sets</t>
  </si>
  <si>
    <t>DUPLICATE Media: Choose:</t>
  </si>
  <si>
    <t>Sample Scans!
Click Here!</t>
  </si>
  <si>
    <t>_Ctrl_1</t>
  </si>
  <si>
    <t>_Ctrl_2</t>
  </si>
  <si>
    <t>_Ctrl_3</t>
  </si>
  <si>
    <t>{"WidgetClassification":3,"State":1,"HyperlinkFlavor":0,"Placement":0,"LinkTarget":3,"CellName":"_Ctrl_3","CellAddress":"='Sheet1'!$B$19","WidgetName":8,"HiddenRow":3,"SheetCodeName":null,"ControlId":null}</t>
  </si>
  <si>
    <t>_Ctrl_4</t>
  </si>
  <si>
    <t>_Ctrl_5</t>
  </si>
  <si>
    <t>{"WidgetClassification":3,"State":1,"HyperlinkFlavor":1,"Placement":0,"LinkTarget":3,"CellName":"_Ctrl_5","CellAddress":"='Sheet1'!$B$6","WidgetName":8,"HiddenRow":5,"SheetCodeName":null,"ControlId":null}</t>
  </si>
  <si>
    <t>_Ctrl_6</t>
  </si>
  <si>
    <t>{"WidgetClassification":3,"State":1,"HyperlinkFlavor":0,"Placement":0,"LinkTarget":3,"CellName":"_Ctrl_6","CellAddress":"=Sheet1!$B$18","WidgetName":8,"HiddenRow":6,"SheetCodeName":null,"ControlId":"hyper"}</t>
  </si>
  <si>
    <t>{"IsHide":false,"SheetId":0,"Name":"Sheet1","HiddenRow":0,"VisibleRange":"","SheetTheme":{"TabColor":"","BodyColor":"","BodyImage":""}}</t>
  </si>
  <si>
    <t>{"IsHide":true,"SheetId":0,"Name":"Calculations","HiddenRow":0,"VisibleRange":"","SheetTheme":{"TabColor":"","BodyColor":"","BodyImage":""}}</t>
  </si>
  <si>
    <t>{"IsHide":true,"SheetId":0,"Name":"Order Form","HiddenRow":0,"VisibleRange":"","SheetTheme":{"TabColor":"","BodyColor":"","BodyImage":""}}</t>
  </si>
  <si>
    <t>{"IsHide":true,"SheetId":0,"Name":"test","HiddenRow":0,"VisibleRange":"","SheetTheme":{"TabColor":"","BodyColor":"","BodyImage":""}}</t>
  </si>
  <si>
    <t>{"IsHide":true,"SheetId":0,"Name":"Control sheet","HiddenRow":0,"VisibleRange":"","SheetTheme":{"TabColor":"","BodyColor":"","BodyImage":""}}</t>
  </si>
  <si>
    <t>{"IsHide":true,"SheetId":0,"Name":"Dropdown lists","HiddenRow":0,"VisibleRange":"","SheetTheme":{"TabColor":"","BodyColor":"","BodyImage":""}}</t>
  </si>
  <si>
    <t>{"IsHide":true,"SheetId":0,"Name":"Conditional Formatting","HiddenRow":0,"VisibleRange":"","SheetTheme":{"TabColor":"","BodyColor":"","BodyImage":""}}</t>
  </si>
  <si>
    <t>{"IsHide":true,"SheetId":0,"Name":"Group box with buttons","HiddenRow":0,"VisibleRange":"","SheetTheme":{"TabColor":"","BodyColor":"","BodyImage":""}}</t>
  </si>
  <si>
    <t>{"IsHide":true,"SheetId":0,"Name":"Changes to make","HiddenRow":0,"VisibleRange":"","SheetTheme":{"TabColor":"","BodyColor":"","BodyImage":""}}</t>
  </si>
  <si>
    <t>{"IsHide":true,"SheetId":0,"Name":"Check boxes","HiddenRow":0,"VisibleRange":"","SheetTheme":{"TabColor":"","BodyColor":"","BodyImage":""}}</t>
  </si>
  <si>
    <t>_Ctrl_7</t>
  </si>
  <si>
    <t>{"WidgetClassification":3,"State":1,"IsHidden":false,"CellName":"_Ctrl_7","CellAddress":"='Sheet1'!$C$17","WidgetName":20,"HiddenRow":7,"SheetCodeName":null,"ControlId":null}</t>
  </si>
  <si>
    <t>{"WidgetClassification":3,"State":1,"IsHidden":false,"CellName":"_Ctrl_1","CellAddress":"=Sheet1!$C$18","WidgetName":20,"HiddenRow":1,"SheetCodeName":null,"ControlId":null}</t>
  </si>
  <si>
    <t>{"WidgetClassification":3,"State":1,"HyperlinkFlavor":0,"Placement":0,"LinkTarget":3,"CellName":"_Ctrl_4","CellAddress":"='Sheet1'!$B$20","WidgetName":8,"HiddenRow":4,"SheetCodeName":null,"ControlId":null}</t>
  </si>
  <si>
    <t>_Ctrl_8</t>
  </si>
  <si>
    <t>{"WidgetClassification":3,"State":1,"HyperlinkFlavor":1,"Placement":0,"LinkTarget":3,"CellName":"_Ctrl_8","CellAddress":"='Sheet1'!$B$5","WidgetName":8,"HiddenRow":8,"SheetCodeName":null,"ControlId":null}</t>
  </si>
  <si>
    <t>_Ctrl_9</t>
  </si>
  <si>
    <t>{"WidgetClassification":3,"State":1,"HyperlinkFlavor":1,"Placement":0,"LinkTarget":3,"CellName":"_Ctrl_9","CellAddress":"='Sheet1'!$B$10","WidgetName":8,"HiddenRow":9,"SheetCodeName":null,"ControlId":null}</t>
  </si>
  <si>
    <t>Number your slides &amp; photos in each stack, if order is important. Do not use ink on paper photos.</t>
  </si>
  <si>
    <t>DuplicateSelections</t>
  </si>
  <si>
    <t>_Ctrl_10</t>
  </si>
  <si>
    <t>{"WidgetClassification":3,"State":1,"HyperlinkFlavor":1,"Placement":0,"LinkTarget":3,"CellName":"_Ctrl_10","CellAddress":"='Sheet1'!$B$76","WidgetName":8,"HiddenRow":10,"SheetCodeName":null,"ControlId":null}</t>
  </si>
  <si>
    <t>If you ship slides to us in carousels with 100 slide slots, we have to charge you 5 cents per slide to take</t>
  </si>
  <si>
    <t>them out for you and stack them for scanning.</t>
  </si>
  <si>
    <t>{"ButtonStyle":0,"Name":"Scanning Standard Order Form","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false,"IsPrint":true,"IsPrintAll":false,"IsReset":true,"IsUpdate":true},"AspnetConfig":{"BrowseUrl":"http://localhost/ssc","FileExtension":0},"NodejsConfig":{"LocalPort":3000},"ConfigureSubmit":{"IsShowCaptcha":false,"IsUseSscWebServer":true,"ReceiverCode":"1234minn@gmail.com","IsFreeService":false,"IsAdvanceService":true,"IsDemonstrationService":false,"AfterSuccessfulSubmit":"","AfterFailSubmit":"","AfterCancelWizard":"","IsUseOwnWebServer":false,"OwnWebServerURL":"","OwnWebServerTarget":"","SubmitTarget":0},"Flavor":0,"Edition":2,"IgnoreBgInputCell":false}</t>
  </si>
  <si>
    <t>Phone Number</t>
  </si>
  <si>
    <t>Name</t>
  </si>
  <si>
    <t>Street Address</t>
  </si>
  <si>
    <t>City, State, Zip</t>
  </si>
  <si>
    <t>op @ 123slide.NET - 800-844-1393</t>
  </si>
  <si>
    <t>Enter Est. Total BELOW.</t>
  </si>
  <si>
    <t>1. 2x2" Bent or Damaged Slides
2. 2x2" Glass Slides
3. 2x2" Thicker than a Quarter coin
4. 2x2" Under Water Slides: (Slides taken underwater)
5. 2x2" Medical or Dental Slides</t>
  </si>
  <si>
    <t>8"x10" photo prints</t>
  </si>
  <si>
    <t>Text Frames:</t>
  </si>
  <si>
    <r>
      <t xml:space="preserve">Text Frames. </t>
    </r>
    <r>
      <rPr>
        <sz val="8"/>
        <rFont val="Arial"/>
        <family val="2"/>
      </rPr>
      <t>Send text in an email</t>
    </r>
  </si>
  <si>
    <r>
      <t>Extra "Shows" or "Chapters"</t>
    </r>
    <r>
      <rPr>
        <sz val="8"/>
        <rFont val="Arial"/>
        <family val="2"/>
      </rPr>
      <t xml:space="preserve"> 12 are Free. These are NOT titles.</t>
    </r>
    <r>
      <rPr>
        <sz val="7"/>
        <rFont val="Arial"/>
        <family val="2"/>
      </rPr>
      <t xml:space="preserve"> Each stack or combination of stacks or carousels is a show.</t>
    </r>
  </si>
  <si>
    <t>Check Here:</t>
  </si>
  <si>
    <t>Please note that we will not transfer Porn or Nude slides or photos. Please send them to our competition.</t>
  </si>
  <si>
    <t>Email address</t>
  </si>
  <si>
    <t>PREP: Please do my slide orientation prep for me!
I don’t have the time.</t>
  </si>
  <si>
    <t>Please watch and follow the instruction movies for Slide and Photo prep. Click HERE if you haven't watched them.
We have to charge a small fee, if we do the slide prep for you.</t>
  </si>
  <si>
    <t>Minimum $20 Scanning Charge.</t>
  </si>
  <si>
    <t>_Ctrl_11</t>
  </si>
  <si>
    <t>{"WidgetClassification":0,"State":1,"IsRequired":false,"IsMultiline":false,"IsHidden":false,"Placeholder":"","InputType":0,"Rows":3,"IsMergeJustify":false,"CellName":"_Ctrl_11","CellAddress":"='Sheet1'!$E$73","WidgetName":4,"HiddenRow":11,"SheetCodeName":null,"ControlId":null}</t>
  </si>
  <si>
    <t>Copyright 2015. | PLEASE USE THE PRINT BUTTON FOR BEST RESULTS.</t>
  </si>
  <si>
    <t>Flash Drv. customer sends w Order</t>
  </si>
  <si>
    <t>Flash Drv.s provided by cust</t>
  </si>
  <si>
    <t>Flash Drv.s provided by us</t>
  </si>
  <si>
    <t>Flash Drv.</t>
  </si>
  <si>
    <t>Per 4gb Flash Drv. chage</t>
  </si>
  <si>
    <t>Flash Drv. Calculations</t>
  </si>
  <si>
    <t>Flash Drv. Affordable sells you</t>
  </si>
  <si>
    <t>SS Disks
300 per disk</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</si>
  <si>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All","Reset":"Reset","Update":"Update","Back":"Back"},"BrowserAndLocation":{"Browsers":[{"Name":"firefox.exe"}],"ConversionPath":"F:\\A_WebPage\\_Business Sites\\oldphoto.COM\\pages"},"AdvancedSettingsModels":[],"Dropbox":{"AccessToken":"","AccessSecret":""},"SpreadsheetServer":{"Username":"","Password":"","ServerUrl":""},"ConfigureSubmitDefault":{"Email":"1234minn@gmail.com"},"MessageBubble":{"Close":false,"TopMsg":0}}</t>
  </si>
  <si>
    <t>11"x14" photo prints</t>
  </si>
  <si>
    <t>We need you to fill in this form on-line, print it out,
and then sign it on line #14 before you send it to us.</t>
  </si>
  <si>
    <r>
      <t xml:space="preserve">Order Form #1
</t>
    </r>
    <r>
      <rPr>
        <b/>
        <sz val="14"/>
        <rFont val="Arial"/>
        <family val="2"/>
      </rPr>
      <t>Fill in on-line, Print Out, Send With Order</t>
    </r>
  </si>
  <si>
    <t>YES. Crop image to fit print size.</t>
  </si>
  <si>
    <t>_Ctrl_12</t>
  </si>
  <si>
    <t>NO. Leave white on two sides of print.</t>
  </si>
  <si>
    <t>{"WidgetClassification":0,"State":1,"IsRequired":false,"ListItem":"YES. Crop image to fit print size.\r\nNO. Leave white on two sides of print.","VlookupRange":"","Direction":0,"Rows":0,"Columns":1,"CellName":"_Ctrl_12","CellAddress":"='Sheet1'!$B$40","WidgetName":7,"HiddenRow":12,"SheetCodeName":null,"ControlId":"CropToFit"}</t>
  </si>
  <si>
    <t>Crop images to fit print? Choose below.</t>
  </si>
  <si>
    <t>Slide Show Disk, JPG disk
or Flash drive? Use Pull down:</t>
  </si>
  <si>
    <t>_Ctrl_13</t>
  </si>
  <si>
    <t>{"WidgetClassification":0,"State":1,"IsRequired":false,"DDLDefaultRequiredText":"Please Select","ListItem":"Priority Mail\r\nPickup","VlookupRange":"","ShowListLabel":false,"ShowDt":false,"CellName":"_Ctrl_13","CellAddress":"='Sheet1'!$E$63","WidgetName":3,"HiddenRow":13,"SheetCodeName":null,"ControlId":null}</t>
  </si>
  <si>
    <t>PAPER PHOTO SCANNING all at 600ppi</t>
  </si>
  <si>
    <t>Make PHOTO PRINTS after SCANNING:</t>
  </si>
  <si>
    <t>Up To 11.6" X 17" photos or Album Pages</t>
  </si>
  <si>
    <t>127 Or Super Slide 2x2" holders: NOTE:
127 Slides MUST be separated from other slides.</t>
  </si>
  <si>
    <r>
      <t xml:space="preserve">Slides To Prints Order Form
</t>
    </r>
    <r>
      <rPr>
        <b/>
        <sz val="14"/>
        <rFont val="Arial"/>
        <family val="2"/>
      </rPr>
      <t>One or 1 million</t>
    </r>
  </si>
  <si>
    <t>We will invoice you for the balance when we finish your project.</t>
  </si>
  <si>
    <t>DEPOSIT To Send:</t>
  </si>
  <si>
    <t>Fill in on-line, Print Out, Send With Order</t>
  </si>
  <si>
    <t>USA Only</t>
  </si>
  <si>
    <t>Sun Prairie, WI 53590
Drop off Appointment: 800-844-1393</t>
  </si>
  <si>
    <t>We look forward to working with
with you on your project!</t>
  </si>
  <si>
    <t>Sample Scans! Click Here!</t>
  </si>
  <si>
    <t>op @ 123slide.NET 800-844-1393</t>
  </si>
  <si>
    <t>Note to Artists and Professional Photographers:
What you really want is Drum Scanning.
Don't expect $30 drum scans for 39 cents.</t>
  </si>
  <si>
    <t>FIRST: FILL IN YOUR NUMBER OF SLIDES TO SCAN, Lines 19-21</t>
  </si>
  <si>
    <t>Slides MUST be scanned before we make prints. Enter Estimated Total in Box BELOW.</t>
  </si>
  <si>
    <t>$20 Minimum for scanning</t>
  </si>
  <si>
    <t>"35mm", "126", "828, ""Half-Frame", "110" in 2x2", normal thickness</t>
  </si>
  <si>
    <t xml:space="preserve">3D Slides, "127" Or Super Slide 2x2" slides, "110" slides in 1 1/8" holders
</t>
  </si>
  <si>
    <t>1. 2x2" Bent or Damaged Slides
2. 2x2" Glass Slides
3. 2x2" Thicker than a "quarter" coin, slide holder
4. 2x2" Under Water Slides: (Slides taken underwater)
5. 2x2" Medical or Dental Slides</t>
  </si>
  <si>
    <t>YES! If you only have ONE slide, we will scan that.</t>
  </si>
  <si>
    <t>SECOND: FILL IN YOUR PRINT SELECTIONS, Lines 26-29</t>
  </si>
  <si>
    <t>THIRD: Crop images to fit print? Choose.</t>
  </si>
  <si>
    <t>Shipping</t>
  </si>
  <si>
    <t>Sorry but USA orders ONLY!</t>
  </si>
  <si>
    <t>=IF(cell value = this value,then answer 1,otherwise answer 2)</t>
  </si>
  <si>
    <t>This is your estimated TOTAL :</t>
  </si>
  <si>
    <t>Please send a personal check or Money Order or Bank Check with your order.</t>
  </si>
  <si>
    <t>Deposit To Send:</t>
  </si>
  <si>
    <t>Waupun Office
Affordable Old Photo
Call For Drop Off Info
Waupun, WI 53963
Call to Drop off: 800-844-1393</t>
  </si>
  <si>
    <t>Please don't forget to include your DEPOSIT:</t>
  </si>
  <si>
    <t>We need you to fill in this form on-line, print it out,
and then sign it on line #12 before you send it to us.</t>
  </si>
  <si>
    <r>
      <t xml:space="preserve">Copyright </t>
    </r>
    <r>
      <rPr>
        <sz val="8"/>
        <rFont val="Arial"/>
        <family val="2"/>
      </rPr>
      <t>© 2015
PRINT AT 80% FOR BEST RESULTS.</t>
    </r>
  </si>
  <si>
    <t>Please note that we will not transfer Porn or Nude slides or photos.
Please send them to our competition.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</si>
</sst>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General\ &quot;Pages&quot;"/>
    <numFmt numFmtId="165" formatCode="&quot;$&quot;#,##0.00"/>
    <numFmt numFmtId="166" formatCode="General\ &quot;Days to Work&quot;"/>
  </numFmts>
  <fonts count="48" x14ac:knownFonts="1">
    <font>
      <sz val="14"/>
      <name val="Arial"/>
    </font>
    <font>
      <sz val="14"/>
      <name val="Arial"/>
      <family val="2"/>
    </font>
    <font>
      <sz val="8"/>
      <name val="Arial"/>
      <family val="2"/>
    </font>
    <font>
      <b/>
      <sz val="8"/>
      <name val="Arial"/>
      <family val="2"/>
    </font>
    <font>
      <sz val="8"/>
      <color indexed="43"/>
      <name val="Arial"/>
      <family val="2"/>
    </font>
    <font>
      <b/>
      <sz val="8"/>
      <name val="Arial"/>
      <family val="2"/>
    </font>
    <font>
      <sz val="8"/>
      <name val="Arial"/>
      <family val="2"/>
    </font>
    <font>
      <u/>
      <sz val="8"/>
      <color indexed="12"/>
      <name val="Arial"/>
      <family val="2"/>
    </font>
    <font>
      <u/>
      <sz val="14"/>
      <color indexed="12"/>
      <name val="Arial"/>
      <family val="2"/>
    </font>
    <font>
      <b/>
      <sz val="10"/>
      <name val="Arial"/>
      <family val="2"/>
    </font>
    <font>
      <b/>
      <sz val="8"/>
      <color indexed="18"/>
      <name val="Arial"/>
      <family val="2"/>
    </font>
    <font>
      <sz val="20"/>
      <name val="Arial"/>
      <family val="2"/>
    </font>
    <font>
      <sz val="8"/>
      <color indexed="20"/>
      <name val="Arial"/>
      <family val="2"/>
    </font>
    <font>
      <sz val="8"/>
      <color indexed="18"/>
      <name val="Arial"/>
      <family val="2"/>
    </font>
    <font>
      <sz val="10"/>
      <name val="Arial"/>
      <family val="2"/>
    </font>
    <font>
      <b/>
      <sz val="8"/>
      <color indexed="16"/>
      <name val="Arial"/>
      <family val="2"/>
    </font>
    <font>
      <b/>
      <sz val="14"/>
      <name val="Arial"/>
      <family val="2"/>
    </font>
    <font>
      <b/>
      <sz val="9"/>
      <name val="Arial"/>
      <family val="2"/>
    </font>
    <font>
      <u/>
      <sz val="10"/>
      <name val="Arial"/>
      <family val="2"/>
    </font>
    <font>
      <b/>
      <sz val="12"/>
      <color indexed="18"/>
      <name val="Arial"/>
      <family val="2"/>
    </font>
    <font>
      <b/>
      <sz val="11"/>
      <color indexed="18"/>
      <name val="Arial"/>
      <family val="2"/>
    </font>
    <font>
      <b/>
      <sz val="11"/>
      <name val="Arial"/>
      <family val="2"/>
    </font>
    <font>
      <b/>
      <sz val="20"/>
      <name val="Arial"/>
      <family val="2"/>
    </font>
    <font>
      <b/>
      <sz val="18"/>
      <name val="Arial"/>
      <family val="2"/>
    </font>
    <font>
      <b/>
      <sz val="24"/>
      <name val="Arial"/>
      <family val="2"/>
    </font>
    <font>
      <b/>
      <sz val="12"/>
      <name val="Arial"/>
      <family val="2"/>
    </font>
    <font>
      <sz val="7"/>
      <name val="Arial"/>
      <family val="2"/>
    </font>
    <font>
      <sz val="14"/>
      <color indexed="18"/>
      <name val="Arial"/>
      <family val="2"/>
    </font>
    <font>
      <u/>
      <sz val="10"/>
      <color indexed="12"/>
      <name val="Arial"/>
      <family val="2"/>
    </font>
    <font>
      <sz val="9"/>
      <name val="Arial"/>
      <family val="2"/>
    </font>
    <font>
      <b/>
      <sz val="9"/>
      <name val="Arial"/>
      <family val="2"/>
    </font>
    <font>
      <b/>
      <sz val="14"/>
      <color indexed="12"/>
      <name val="Arial"/>
      <family val="2"/>
    </font>
    <font>
      <sz val="9"/>
      <name val="Arial"/>
      <family val="2"/>
    </font>
    <font>
      <b/>
      <sz val="8"/>
      <color indexed="20"/>
      <name val="Arial"/>
      <family val="2"/>
    </font>
    <font>
      <u/>
      <sz val="11"/>
      <color indexed="12"/>
      <name val="Arial"/>
      <family val="2"/>
    </font>
    <font>
      <sz val="12"/>
      <name val="Arial"/>
      <family val="2"/>
    </font>
    <font>
      <sz val="11"/>
      <color indexed="12"/>
      <name val="Arial"/>
      <family val="2"/>
    </font>
    <font>
      <sz val="8"/>
      <color indexed="9"/>
      <name val="Arial"/>
      <family val="2"/>
    </font>
    <font>
      <sz val="14"/>
      <name val="Arial"/>
      <family val="2"/>
    </font>
    <font>
      <sz val="9"/>
      <color indexed="81"/>
      <name val="Tahoma"/>
      <family val="2"/>
    </font>
    <font>
      <b/>
      <sz val="9"/>
      <color indexed="81"/>
      <name val="Tahoma"/>
      <family val="2"/>
    </font>
    <font>
      <sz val="8"/>
      <color rgb="FF000000"/>
      <name val="Tahoma"/>
      <family val="2"/>
    </font>
    <font>
      <sz val="8"/>
      <color theme="9" tint="0.79998168889431442"/>
      <name val="Arial"/>
      <family val="2"/>
    </font>
    <font>
      <sz val="8"/>
      <name val="Microsoft Sans Serif"/>
      <family val="2"/>
    </font>
    <font>
      <sz val="12"/>
      <name val="Microsoft Sans Serif"/>
      <family val="2"/>
    </font>
    <font>
      <b/>
      <sz val="7.5"/>
      <name val="Arial"/>
      <family val="2"/>
    </font>
    <font>
      <b/>
      <sz val="16"/>
      <name val="Arial"/>
      <family val="2"/>
    </font>
    <font>
      <sz val="15"/>
      <name val="Arial"/>
      <family val="2"/>
    </font>
  </fonts>
  <fills count="2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
      <patternFill patternType="solid">
        <fgColor indexed="44"/>
        <bgColor indexed="64"/>
      </patternFill>
    </fill>
    <fill>
      <patternFill patternType="solid">
        <fgColor rgb="FFFF999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CECFF"/>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FFFF"/>
        <bgColor indexed="64"/>
      </patternFill>
    </fill>
    <fill>
      <patternFill patternType="solid">
        <fgColor rgb="FFFFC000"/>
        <bgColor indexed="64"/>
      </patternFill>
    </fill>
    <fill>
      <patternFill patternType="solid">
        <fgColor rgb="FFFDE9D9"/>
        <bgColor indexed="64"/>
      </patternFill>
    </fill>
    <fill>
      <patternFill patternType="solid">
        <fgColor indexed="46"/>
        <bgColor indexed="64"/>
      </patternFill>
    </fill>
    <fill>
      <patternFill patternType="solid">
        <fgColor indexed="1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44" fontId="35"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1" fillId="0" borderId="0"/>
    <xf numFmtId="0" fontId="1" fillId="0" borderId="0"/>
  </cellStyleXfs>
  <cellXfs count="612">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vertical="top" wrapText="1"/>
    </xf>
    <xf numFmtId="44" fontId="2" fillId="0" borderId="0" xfId="0" applyNumberFormat="1" applyFont="1" applyBorder="1" applyAlignment="1">
      <alignment horizontal="center"/>
    </xf>
    <xf numFmtId="0" fontId="13" fillId="0" borderId="0" xfId="0" applyFont="1" applyFill="1" applyBorder="1" applyAlignment="1">
      <alignment horizontal="center"/>
    </xf>
    <xf numFmtId="44" fontId="2" fillId="0" borderId="0" xfId="1" applyFont="1" applyBorder="1" applyAlignment="1">
      <alignment horizontal="center"/>
    </xf>
    <xf numFmtId="0" fontId="5" fillId="0" borderId="0" xfId="0" applyFont="1" applyBorder="1" applyAlignment="1"/>
    <xf numFmtId="0" fontId="2" fillId="0" borderId="1" xfId="0" applyFont="1" applyBorder="1" applyAlignment="1">
      <alignment horizontal="right" vertical="center" wrapText="1"/>
    </xf>
    <xf numFmtId="44" fontId="2" fillId="0" borderId="1" xfId="1" applyFont="1" applyBorder="1" applyAlignment="1">
      <alignment horizontal="center" vertical="center"/>
    </xf>
    <xf numFmtId="0" fontId="2"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Border="1" applyAlignment="1">
      <alignment horizontal="right" vertical="center" wrapText="1"/>
    </xf>
    <xf numFmtId="0" fontId="12" fillId="0" borderId="0" xfId="0" applyNumberFormat="1" applyFont="1" applyAlignment="1">
      <alignment horizontal="center" vertical="center"/>
    </xf>
    <xf numFmtId="0" fontId="2" fillId="0" borderId="0" xfId="0" applyFont="1" applyProtection="1">
      <protection locked="0" hidden="1"/>
    </xf>
    <xf numFmtId="0" fontId="2" fillId="0" borderId="0" xfId="0" applyFont="1" applyBorder="1" applyAlignment="1">
      <alignment horizontal="right" vertical="top" wrapText="1"/>
    </xf>
    <xf numFmtId="0" fontId="2" fillId="0" borderId="0" xfId="0" applyFont="1" applyAlignment="1">
      <alignment vertical="center"/>
    </xf>
    <xf numFmtId="0" fontId="13" fillId="0" borderId="0" xfId="0" applyFont="1" applyFill="1" applyBorder="1" applyAlignment="1">
      <alignment horizontal="center" wrapText="1"/>
    </xf>
    <xf numFmtId="0" fontId="18" fillId="0" borderId="0" xfId="3" applyFont="1" applyAlignment="1" applyProtection="1"/>
    <xf numFmtId="0" fontId="3" fillId="0" borderId="0" xfId="0" applyFont="1"/>
    <xf numFmtId="0" fontId="2" fillId="0" borderId="0" xfId="0" applyFont="1" applyAlignment="1">
      <alignment horizontal="center"/>
    </xf>
    <xf numFmtId="0" fontId="2" fillId="0" borderId="0" xfId="0" applyNumberFormat="1" applyFont="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xf numFmtId="0" fontId="2" fillId="0" borderId="0" xfId="0" applyFont="1" applyAlignment="1">
      <alignment wrapText="1"/>
    </xf>
    <xf numFmtId="0" fontId="24" fillId="0" borderId="0" xfId="0" applyFont="1" applyAlignment="1">
      <alignment vertical="top" wrapText="1"/>
    </xf>
    <xf numFmtId="0" fontId="0" fillId="0" borderId="0" xfId="0" applyAlignment="1">
      <alignment vertical="top" wrapText="1"/>
    </xf>
    <xf numFmtId="0" fontId="0" fillId="3" borderId="0" xfId="0" applyFill="1"/>
    <xf numFmtId="44" fontId="3" fillId="0" borderId="0" xfId="0" applyNumberFormat="1" applyFont="1"/>
    <xf numFmtId="0" fontId="24" fillId="0" borderId="0" xfId="0" applyFont="1"/>
    <xf numFmtId="0" fontId="2" fillId="0" borderId="11" xfId="0" applyFont="1" applyBorder="1"/>
    <xf numFmtId="0" fontId="5" fillId="0" borderId="0" xfId="0" applyFont="1" applyFill="1" applyBorder="1" applyAlignment="1">
      <alignment horizontal="center"/>
    </xf>
    <xf numFmtId="0" fontId="16" fillId="0" borderId="0" xfId="0" applyFont="1" applyBorder="1" applyAlignment="1"/>
    <xf numFmtId="0" fontId="14" fillId="0" borderId="0" xfId="0" applyFont="1" applyBorder="1" applyAlignment="1">
      <alignment horizontal="center"/>
    </xf>
    <xf numFmtId="0" fontId="10" fillId="0" borderId="0" xfId="0" applyFont="1" applyFill="1" applyBorder="1" applyAlignment="1">
      <alignment horizontal="center"/>
    </xf>
    <xf numFmtId="0" fontId="6" fillId="0" borderId="1" xfId="0" applyFont="1" applyBorder="1" applyAlignment="1">
      <alignment horizontal="center"/>
    </xf>
    <xf numFmtId="44" fontId="2" fillId="0" borderId="13" xfId="1" applyFont="1" applyBorder="1" applyAlignment="1">
      <alignment horizontal="center"/>
    </xf>
    <xf numFmtId="44" fontId="2" fillId="0" borderId="14" xfId="1" applyFont="1" applyBorder="1" applyAlignment="1">
      <alignment horizontal="center"/>
    </xf>
    <xf numFmtId="0" fontId="5" fillId="0" borderId="15" xfId="3" applyFont="1" applyBorder="1" applyAlignment="1" applyProtection="1">
      <alignment horizontal="right" vertical="center" wrapText="1"/>
    </xf>
    <xf numFmtId="0" fontId="5" fillId="0" borderId="16" xfId="0" applyFont="1" applyFill="1" applyBorder="1" applyAlignment="1">
      <alignment horizontal="center"/>
    </xf>
    <xf numFmtId="0" fontId="6" fillId="0" borderId="16" xfId="0" applyFont="1" applyBorder="1" applyAlignment="1">
      <alignment horizontal="center"/>
    </xf>
    <xf numFmtId="44" fontId="2" fillId="0" borderId="17" xfId="1" applyFont="1" applyBorder="1" applyAlignment="1">
      <alignment horizontal="center"/>
    </xf>
    <xf numFmtId="44" fontId="5" fillId="0" borderId="18" xfId="1" applyFont="1" applyBorder="1" applyAlignment="1">
      <alignment horizontal="center" vertical="center"/>
    </xf>
    <xf numFmtId="44" fontId="2" fillId="0" borderId="13" xfId="1" applyFont="1" applyBorder="1" applyAlignment="1">
      <alignment horizontal="center" vertical="center"/>
    </xf>
    <xf numFmtId="0" fontId="2" fillId="0" borderId="19" xfId="0" applyFont="1" applyBorder="1" applyAlignment="1">
      <alignment horizontal="right" vertical="center" wrapText="1"/>
    </xf>
    <xf numFmtId="44" fontId="2" fillId="0" borderId="14" xfId="1" applyFont="1" applyBorder="1" applyAlignment="1">
      <alignment horizontal="center" vertical="center"/>
    </xf>
    <xf numFmtId="0" fontId="2" fillId="0" borderId="15" xfId="0" applyFont="1" applyBorder="1" applyAlignment="1">
      <alignment horizontal="right" vertical="center" wrapText="1"/>
    </xf>
    <xf numFmtId="0" fontId="13" fillId="2" borderId="16" xfId="0" applyFont="1" applyFill="1" applyBorder="1" applyAlignment="1">
      <alignment horizontal="center" vertical="center"/>
    </xf>
    <xf numFmtId="0" fontId="2" fillId="0" borderId="16" xfId="0" applyNumberFormat="1" applyFont="1" applyFill="1" applyBorder="1" applyAlignment="1">
      <alignment horizontal="center" vertical="center"/>
    </xf>
    <xf numFmtId="44" fontId="2" fillId="0" borderId="17" xfId="1" applyFont="1" applyBorder="1" applyAlignment="1">
      <alignment horizontal="center" vertical="center"/>
    </xf>
    <xf numFmtId="0" fontId="6" fillId="0" borderId="18" xfId="0" applyFont="1" applyBorder="1" applyAlignment="1">
      <alignment horizontal="center"/>
    </xf>
    <xf numFmtId="0" fontId="5" fillId="3" borderId="20" xfId="3" applyFont="1" applyFill="1" applyBorder="1" applyAlignment="1" applyProtection="1">
      <alignment horizontal="center" vertical="center" wrapText="1"/>
    </xf>
    <xf numFmtId="0" fontId="2" fillId="0" borderId="0" xfId="0" applyFont="1" applyFill="1" applyBorder="1" applyAlignment="1">
      <alignment horizontal="center"/>
    </xf>
    <xf numFmtId="0" fontId="5" fillId="0" borderId="21" xfId="0" applyFont="1" applyBorder="1" applyAlignment="1">
      <alignment horizontal="right" vertical="center" wrapText="1"/>
    </xf>
    <xf numFmtId="166" fontId="2" fillId="0" borderId="22" xfId="0" applyNumberFormat="1" applyFont="1" applyBorder="1" applyAlignment="1">
      <alignment horizontal="center" vertical="center"/>
    </xf>
    <xf numFmtId="0" fontId="4" fillId="2" borderId="22" xfId="0" applyFont="1" applyFill="1" applyBorder="1" applyAlignment="1">
      <alignment horizontal="center" vertical="center"/>
    </xf>
    <xf numFmtId="0" fontId="5" fillId="0" borderId="22" xfId="0" applyFont="1" applyBorder="1" applyAlignment="1">
      <alignment horizontal="center" vertical="center"/>
    </xf>
    <xf numFmtId="44" fontId="2" fillId="0" borderId="23" xfId="0" applyNumberFormat="1" applyFont="1" applyBorder="1" applyAlignment="1">
      <alignment vertical="center"/>
    </xf>
    <xf numFmtId="0" fontId="3" fillId="0" borderId="21" xfId="0" applyFont="1" applyBorder="1" applyAlignment="1">
      <alignment horizontal="center"/>
    </xf>
    <xf numFmtId="44" fontId="5" fillId="4" borderId="23" xfId="1" applyFont="1" applyFill="1" applyBorder="1"/>
    <xf numFmtId="7" fontId="5" fillId="0" borderId="1" xfId="1" applyNumberFormat="1" applyFont="1" applyBorder="1" applyAlignment="1">
      <alignment horizontal="center" vertical="center"/>
    </xf>
    <xf numFmtId="165" fontId="2" fillId="0" borderId="1" xfId="0" applyNumberFormat="1" applyFont="1" applyBorder="1" applyAlignment="1">
      <alignment horizontal="right" vertical="center"/>
    </xf>
    <xf numFmtId="165" fontId="5" fillId="0" borderId="1" xfId="1" applyNumberFormat="1" applyFont="1" applyBorder="1" applyAlignment="1">
      <alignment horizontal="center" vertical="center"/>
    </xf>
    <xf numFmtId="0" fontId="2" fillId="0" borderId="18" xfId="0" applyFont="1" applyBorder="1"/>
    <xf numFmtId="0" fontId="2" fillId="0" borderId="13" xfId="0" applyFont="1" applyBorder="1"/>
    <xf numFmtId="44" fontId="2" fillId="0" borderId="16" xfId="1" applyFont="1" applyBorder="1" applyAlignment="1">
      <alignment vertical="center"/>
    </xf>
    <xf numFmtId="44" fontId="2" fillId="0" borderId="16" xfId="1" applyFont="1" applyBorder="1" applyAlignment="1">
      <alignment vertical="center" wrapText="1"/>
    </xf>
    <xf numFmtId="44" fontId="2" fillId="0" borderId="16" xfId="1" applyFont="1" applyBorder="1" applyAlignment="1">
      <alignment horizontal="center" vertical="center"/>
    </xf>
    <xf numFmtId="0" fontId="2" fillId="0" borderId="17" xfId="0" applyFont="1" applyBorder="1"/>
    <xf numFmtId="0" fontId="10" fillId="3" borderId="20" xfId="3" applyFont="1" applyFill="1" applyBorder="1" applyAlignment="1" applyProtection="1">
      <alignment horizontal="center" wrapText="1"/>
    </xf>
    <xf numFmtId="44" fontId="2" fillId="0" borderId="0" xfId="1" applyFont="1" applyBorder="1" applyAlignment="1">
      <alignment vertical="center"/>
    </xf>
    <xf numFmtId="44" fontId="2" fillId="0" borderId="0" xfId="1" applyFont="1" applyBorder="1" applyAlignment="1">
      <alignment vertical="center" wrapText="1"/>
    </xf>
    <xf numFmtId="44" fontId="2" fillId="0" borderId="0" xfId="1" applyFont="1" applyBorder="1" applyAlignment="1">
      <alignment horizontal="center" vertical="center"/>
    </xf>
    <xf numFmtId="165" fontId="2" fillId="0" borderId="1" xfId="0" applyNumberFormat="1" applyFont="1" applyBorder="1" applyAlignment="1">
      <alignment horizontal="center"/>
    </xf>
    <xf numFmtId="0" fontId="3" fillId="5" borderId="21" xfId="0" applyFont="1" applyFill="1" applyBorder="1" applyAlignment="1">
      <alignment horizontal="center"/>
    </xf>
    <xf numFmtId="44" fontId="5" fillId="0" borderId="21" xfId="1" applyFont="1" applyBorder="1" applyAlignment="1">
      <alignment horizontal="center"/>
    </xf>
    <xf numFmtId="44" fontId="3" fillId="4" borderId="25" xfId="1" applyFont="1" applyFill="1" applyBorder="1" applyAlignment="1">
      <alignment horizontal="center"/>
    </xf>
    <xf numFmtId="44" fontId="2" fillId="0" borderId="1" xfId="1" applyFont="1" applyBorder="1" applyAlignment="1">
      <alignment vertical="center"/>
    </xf>
    <xf numFmtId="0" fontId="2" fillId="0" borderId="20" xfId="3" applyFont="1" applyBorder="1" applyAlignment="1" applyProtection="1">
      <alignment horizontal="right"/>
    </xf>
    <xf numFmtId="0" fontId="5" fillId="0" borderId="26" xfId="3" applyFont="1" applyBorder="1" applyAlignment="1" applyProtection="1">
      <alignment horizontal="center" vertical="center" wrapText="1"/>
    </xf>
    <xf numFmtId="0" fontId="5" fillId="0" borderId="9" xfId="0" applyFont="1" applyFill="1" applyBorder="1" applyAlignment="1">
      <alignment horizontal="center"/>
    </xf>
    <xf numFmtId="0" fontId="2" fillId="0" borderId="27" xfId="0" applyNumberFormat="1" applyFont="1" applyFill="1" applyBorder="1" applyAlignment="1">
      <alignment horizontal="center" vertical="center"/>
    </xf>
    <xf numFmtId="0" fontId="6" fillId="0" borderId="27" xfId="0" applyFont="1" applyBorder="1" applyAlignment="1">
      <alignment horizontal="center"/>
    </xf>
    <xf numFmtId="0" fontId="5" fillId="0" borderId="28" xfId="3" applyFont="1" applyBorder="1" applyAlignment="1" applyProtection="1">
      <alignment horizontal="center" vertical="center" wrapText="1"/>
    </xf>
    <xf numFmtId="0" fontId="5" fillId="0" borderId="25" xfId="0" applyFont="1" applyFill="1" applyBorder="1" applyAlignment="1">
      <alignment horizontal="center"/>
    </xf>
    <xf numFmtId="0" fontId="2" fillId="0" borderId="29" xfId="0" applyFont="1" applyBorder="1" applyAlignment="1">
      <alignment horizontal="right" vertical="center" wrapText="1"/>
    </xf>
    <xf numFmtId="0" fontId="13" fillId="0" borderId="27" xfId="0" applyFont="1" applyFill="1" applyBorder="1" applyAlignment="1">
      <alignment horizontal="center" vertical="center"/>
    </xf>
    <xf numFmtId="0" fontId="2" fillId="0" borderId="30" xfId="0" applyFont="1" applyBorder="1" applyAlignment="1">
      <alignment horizontal="right" vertical="center" wrapText="1"/>
    </xf>
    <xf numFmtId="0" fontId="13" fillId="2" borderId="18" xfId="0"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2" fillId="0" borderId="0" xfId="0" applyNumberFormat="1" applyFont="1" applyFill="1" applyBorder="1" applyAlignment="1">
      <alignment horizontal="center" vertical="center"/>
    </xf>
    <xf numFmtId="44" fontId="5" fillId="0" borderId="0" xfId="1" applyFont="1" applyBorder="1" applyAlignment="1">
      <alignment horizontal="center" vertical="center"/>
    </xf>
    <xf numFmtId="44" fontId="2" fillId="0" borderId="20" xfId="1" applyFont="1" applyBorder="1" applyAlignment="1">
      <alignment horizontal="center" vertical="center"/>
    </xf>
    <xf numFmtId="0" fontId="13" fillId="0" borderId="0" xfId="0" applyFont="1" applyFill="1" applyBorder="1" applyAlignment="1">
      <alignment horizontal="center" vertical="center"/>
    </xf>
    <xf numFmtId="7" fontId="5" fillId="0" borderId="18" xfId="1" applyNumberFormat="1" applyFont="1" applyBorder="1" applyAlignment="1">
      <alignment horizontal="center" vertical="center"/>
    </xf>
    <xf numFmtId="7" fontId="5" fillId="0" borderId="16" xfId="1" applyNumberFormat="1" applyFont="1" applyBorder="1" applyAlignment="1">
      <alignment horizontal="center" vertical="center"/>
    </xf>
    <xf numFmtId="0" fontId="29" fillId="0" borderId="31" xfId="0" applyFont="1" applyBorder="1"/>
    <xf numFmtId="0" fontId="29" fillId="0" borderId="24" xfId="0" applyFont="1" applyBorder="1"/>
    <xf numFmtId="0" fontId="30" fillId="0" borderId="24" xfId="0" applyFont="1" applyBorder="1" applyAlignment="1">
      <alignment horizontal="center"/>
    </xf>
    <xf numFmtId="0" fontId="29" fillId="0" borderId="2" xfId="0" applyFont="1" applyBorder="1"/>
    <xf numFmtId="0" fontId="30" fillId="0" borderId="12" xfId="0" applyFont="1" applyFill="1" applyBorder="1" applyAlignment="1">
      <alignment horizontal="center"/>
    </xf>
    <xf numFmtId="0" fontId="30" fillId="0" borderId="0" xfId="0" applyFont="1" applyFill="1" applyBorder="1" applyAlignment="1">
      <alignment horizontal="center"/>
    </xf>
    <xf numFmtId="0" fontId="30" fillId="0" borderId="3" xfId="0" applyFont="1" applyFill="1" applyBorder="1" applyAlignment="1">
      <alignment horizontal="center"/>
    </xf>
    <xf numFmtId="0" fontId="29" fillId="0" borderId="12" xfId="0" applyFont="1" applyBorder="1"/>
    <xf numFmtId="0" fontId="30" fillId="0" borderId="0" xfId="0" applyFont="1" applyBorder="1" applyAlignment="1">
      <alignment horizontal="center"/>
    </xf>
    <xf numFmtId="0" fontId="29" fillId="0" borderId="0" xfId="0" applyFont="1" applyBorder="1"/>
    <xf numFmtId="0" fontId="29" fillId="0" borderId="3" xfId="0" applyFont="1" applyBorder="1"/>
    <xf numFmtId="0" fontId="29" fillId="0" borderId="6" xfId="3" applyFont="1" applyBorder="1" applyAlignment="1" applyProtection="1">
      <alignment horizontal="center" vertical="center" wrapText="1"/>
    </xf>
    <xf numFmtId="0" fontId="29" fillId="0" borderId="7" xfId="3" applyFont="1" applyBorder="1" applyAlignment="1" applyProtection="1">
      <alignment horizontal="center" vertical="center"/>
    </xf>
    <xf numFmtId="0" fontId="29" fillId="0" borderId="4" xfId="3" applyFont="1" applyBorder="1" applyAlignment="1" applyProtection="1">
      <alignment horizontal="center" vertical="center"/>
    </xf>
    <xf numFmtId="44" fontId="2" fillId="0" borderId="5" xfId="1" applyFont="1" applyBorder="1" applyAlignment="1">
      <alignment vertical="center"/>
    </xf>
    <xf numFmtId="44" fontId="2" fillId="0" borderId="15" xfId="1" applyFont="1" applyBorder="1" applyAlignment="1">
      <alignment vertical="center"/>
    </xf>
    <xf numFmtId="0" fontId="5" fillId="0" borderId="9" xfId="0" applyFont="1" applyBorder="1" applyAlignment="1">
      <alignment horizontal="center" vertical="center" wrapText="1"/>
    </xf>
    <xf numFmtId="165" fontId="3" fillId="4" borderId="23" xfId="1" applyNumberFormat="1" applyFont="1" applyFill="1" applyBorder="1" applyAlignment="1">
      <alignment horizontal="center"/>
    </xf>
    <xf numFmtId="44" fontId="2" fillId="0" borderId="0" xfId="1" quotePrefix="1" applyFont="1" applyBorder="1" applyAlignment="1">
      <alignment vertical="center" wrapText="1"/>
    </xf>
    <xf numFmtId="0" fontId="33" fillId="0" borderId="0" xfId="0" applyNumberFormat="1" applyFont="1" applyAlignment="1">
      <alignment horizontal="center" vertical="center"/>
    </xf>
    <xf numFmtId="0" fontId="25" fillId="0" borderId="0" xfId="0" applyFont="1" applyBorder="1" applyAlignment="1">
      <alignment horizontal="center" wrapText="1"/>
    </xf>
    <xf numFmtId="0" fontId="34" fillId="0" borderId="20" xfId="3" applyFont="1" applyBorder="1" applyAlignment="1" applyProtection="1">
      <alignment horizontal="center" vertical="center" wrapText="1"/>
    </xf>
    <xf numFmtId="0" fontId="36" fillId="0" borderId="20" xfId="3" applyFont="1" applyBorder="1" applyAlignment="1" applyProtection="1">
      <alignment horizontal="center" vertical="center" wrapText="1"/>
    </xf>
    <xf numFmtId="0" fontId="2" fillId="0" borderId="20" xfId="3" applyFont="1" applyBorder="1" applyAlignment="1" applyProtection="1">
      <alignment horizontal="right" wrapText="1"/>
    </xf>
    <xf numFmtId="0" fontId="37" fillId="0" borderId="1" xfId="0" applyFont="1" applyFill="1" applyBorder="1" applyAlignment="1">
      <alignment horizontal="right" vertical="center" wrapText="1"/>
    </xf>
    <xf numFmtId="0" fontId="2" fillId="0" borderId="23" xfId="0" applyFont="1" applyBorder="1"/>
    <xf numFmtId="0" fontId="25" fillId="8" borderId="20" xfId="3" applyFont="1" applyFill="1" applyBorder="1" applyAlignment="1" applyProtection="1">
      <alignment horizontal="center" vertical="center" wrapText="1"/>
    </xf>
    <xf numFmtId="0" fontId="14" fillId="9" borderId="31" xfId="0" applyFont="1" applyFill="1" applyBorder="1" applyAlignment="1">
      <alignment horizontal="left" vertical="top" wrapText="1"/>
    </xf>
    <xf numFmtId="0" fontId="35" fillId="0" borderId="0" xfId="4"/>
    <xf numFmtId="44" fontId="0" fillId="0" borderId="0" xfId="2" applyFont="1" applyAlignment="1">
      <alignment horizontal="center"/>
    </xf>
    <xf numFmtId="0" fontId="25" fillId="0" borderId="0" xfId="4" applyFont="1"/>
    <xf numFmtId="14" fontId="35" fillId="0" borderId="0" xfId="4" applyNumberFormat="1"/>
    <xf numFmtId="0" fontId="25" fillId="0" borderId="31" xfId="4" applyFont="1" applyBorder="1" applyAlignment="1">
      <alignment horizontal="center"/>
    </xf>
    <xf numFmtId="0" fontId="25" fillId="0" borderId="24" xfId="4" applyFont="1" applyBorder="1" applyAlignment="1">
      <alignment horizontal="center"/>
    </xf>
    <xf numFmtId="0" fontId="25" fillId="0" borderId="2" xfId="4" applyFont="1" applyBorder="1" applyAlignment="1">
      <alignment horizontal="center"/>
    </xf>
    <xf numFmtId="0" fontId="35" fillId="2" borderId="12" xfId="4" applyFont="1" applyFill="1" applyBorder="1"/>
    <xf numFmtId="44" fontId="0" fillId="0" borderId="0" xfId="2" applyFont="1" applyBorder="1" applyAlignment="1">
      <alignment horizontal="center"/>
    </xf>
    <xf numFmtId="0" fontId="35" fillId="0" borderId="0" xfId="4" applyFill="1" applyBorder="1" applyAlignment="1">
      <alignment horizontal="center"/>
    </xf>
    <xf numFmtId="0" fontId="35" fillId="0" borderId="3" xfId="4" applyBorder="1" applyAlignment="1">
      <alignment horizontal="center"/>
    </xf>
    <xf numFmtId="0" fontId="35" fillId="0" borderId="12" xfId="4" applyFont="1" applyFill="1" applyBorder="1"/>
    <xf numFmtId="0" fontId="35" fillId="0" borderId="0" xfId="4" applyBorder="1"/>
    <xf numFmtId="0" fontId="35" fillId="0" borderId="0" xfId="4" applyFill="1" applyBorder="1"/>
    <xf numFmtId="0" fontId="35" fillId="0" borderId="3" xfId="4" applyBorder="1"/>
    <xf numFmtId="0" fontId="25" fillId="0" borderId="12" xfId="4" applyFont="1" applyFill="1" applyBorder="1" applyAlignment="1">
      <alignment horizontal="center"/>
    </xf>
    <xf numFmtId="0" fontId="35" fillId="0" borderId="6" xfId="4" applyFont="1" applyFill="1" applyBorder="1"/>
    <xf numFmtId="0" fontId="35" fillId="0" borderId="7" xfId="4" applyBorder="1"/>
    <xf numFmtId="0" fontId="35" fillId="0" borderId="7" xfId="4" applyFill="1" applyBorder="1"/>
    <xf numFmtId="0" fontId="35" fillId="0" borderId="4" xfId="4" applyBorder="1"/>
    <xf numFmtId="0" fontId="35" fillId="10" borderId="0" xfId="4" applyFont="1" applyFill="1"/>
    <xf numFmtId="0" fontId="35" fillId="11" borderId="0" xfId="4" applyFont="1" applyFill="1"/>
    <xf numFmtId="44" fontId="0" fillId="0" borderId="33" xfId="2" applyFont="1" applyBorder="1" applyAlignment="1">
      <alignment horizontal="center"/>
    </xf>
    <xf numFmtId="44" fontId="38" fillId="0" borderId="11" xfId="2" applyFont="1" applyBorder="1" applyAlignment="1">
      <alignment horizontal="center"/>
    </xf>
    <xf numFmtId="0" fontId="25" fillId="0" borderId="8" xfId="4" applyFont="1" applyBorder="1"/>
    <xf numFmtId="0" fontId="25" fillId="0" borderId="34" xfId="4" applyFont="1" applyBorder="1"/>
    <xf numFmtId="0" fontId="35" fillId="0" borderId="34" xfId="4" applyBorder="1"/>
    <xf numFmtId="0" fontId="35" fillId="0" borderId="9" xfId="4" applyBorder="1"/>
    <xf numFmtId="0" fontId="35" fillId="0" borderId="0" xfId="4" quotePrefix="1"/>
    <xf numFmtId="44" fontId="38" fillId="0" borderId="35" xfId="2" applyFont="1" applyBorder="1" applyAlignment="1">
      <alignment horizontal="left"/>
    </xf>
    <xf numFmtId="0" fontId="35" fillId="0" borderId="36" xfId="4" applyBorder="1"/>
    <xf numFmtId="0" fontId="35" fillId="0" borderId="37" xfId="4" applyBorder="1"/>
    <xf numFmtId="44" fontId="3" fillId="0" borderId="38" xfId="0" applyNumberFormat="1" applyFont="1" applyBorder="1"/>
    <xf numFmtId="0" fontId="2" fillId="0" borderId="33" xfId="0" applyFont="1" applyBorder="1"/>
    <xf numFmtId="44" fontId="3" fillId="0" borderId="39" xfId="0" applyNumberFormat="1" applyFont="1" applyBorder="1"/>
    <xf numFmtId="1" fontId="2" fillId="0" borderId="0" xfId="0" applyNumberFormat="1" applyFont="1" applyBorder="1"/>
    <xf numFmtId="44" fontId="3" fillId="0" borderId="40" xfId="0" applyNumberFormat="1" applyFont="1" applyBorder="1"/>
    <xf numFmtId="0" fontId="2" fillId="0" borderId="41" xfId="0" applyFont="1" applyBorder="1"/>
    <xf numFmtId="1" fontId="2" fillId="0" borderId="42" xfId="0" applyNumberFormat="1" applyFont="1" applyBorder="1"/>
    <xf numFmtId="0" fontId="2" fillId="0" borderId="41" xfId="0" applyFont="1" applyBorder="1" applyAlignment="1">
      <alignment horizontal="center"/>
    </xf>
    <xf numFmtId="0" fontId="2" fillId="0" borderId="42" xfId="0" applyFont="1" applyBorder="1"/>
    <xf numFmtId="0" fontId="2" fillId="0" borderId="43" xfId="0" applyFont="1" applyBorder="1"/>
    <xf numFmtId="0" fontId="2" fillId="0" borderId="36" xfId="0" applyFont="1" applyBorder="1"/>
    <xf numFmtId="0" fontId="2" fillId="0" borderId="37" xfId="0" applyFont="1" applyBorder="1"/>
    <xf numFmtId="0" fontId="2" fillId="0" borderId="38" xfId="0" applyFont="1" applyBorder="1"/>
    <xf numFmtId="0" fontId="2" fillId="0" borderId="0" xfId="0" applyFont="1" applyBorder="1" applyAlignment="1">
      <alignment wrapText="1"/>
    </xf>
    <xf numFmtId="0" fontId="2" fillId="0" borderId="33" xfId="0" applyFont="1" applyBorder="1" applyAlignment="1">
      <alignment horizontal="center"/>
    </xf>
    <xf numFmtId="44" fontId="2" fillId="0" borderId="1" xfId="1" applyFont="1" applyBorder="1" applyAlignment="1">
      <alignment vertical="center" wrapText="1"/>
    </xf>
    <xf numFmtId="0" fontId="2" fillId="0" borderId="14" xfId="0" applyFont="1" applyBorder="1"/>
    <xf numFmtId="0" fontId="2" fillId="0" borderId="11" xfId="0" applyFont="1" applyBorder="1" applyAlignment="1">
      <alignment horizontal="center" vertical="center"/>
    </xf>
    <xf numFmtId="0" fontId="2" fillId="0" borderId="38" xfId="0" applyFont="1" applyBorder="1" applyAlignment="1">
      <alignment horizontal="center"/>
    </xf>
    <xf numFmtId="0" fontId="2" fillId="0" borderId="44" xfId="0" applyNumberFormat="1" applyFont="1" applyBorder="1"/>
    <xf numFmtId="0" fontId="2" fillId="0" borderId="11" xfId="0" applyFont="1" applyBorder="1" applyAlignment="1">
      <alignment wrapText="1"/>
    </xf>
    <xf numFmtId="37" fontId="38" fillId="0" borderId="35" xfId="2" applyNumberFormat="1" applyFont="1" applyBorder="1" applyAlignment="1">
      <alignment horizontal="center" wrapText="1"/>
    </xf>
    <xf numFmtId="37" fontId="0" fillId="0" borderId="38" xfId="2" applyNumberFormat="1" applyFont="1" applyBorder="1" applyAlignment="1">
      <alignment horizontal="center"/>
    </xf>
    <xf numFmtId="37" fontId="0" fillId="0" borderId="33" xfId="2" applyNumberFormat="1" applyFont="1" applyBorder="1" applyAlignment="1">
      <alignment horizontal="center"/>
    </xf>
    <xf numFmtId="37" fontId="0" fillId="0" borderId="44" xfId="2" applyNumberFormat="1" applyFont="1" applyBorder="1" applyAlignment="1">
      <alignment horizontal="center"/>
    </xf>
    <xf numFmtId="0" fontId="35" fillId="0" borderId="11" xfId="4" applyBorder="1" applyAlignment="1">
      <alignment horizontal="center"/>
    </xf>
    <xf numFmtId="44" fontId="38" fillId="0" borderId="33" xfId="2" applyFont="1" applyBorder="1" applyAlignment="1">
      <alignment horizontal="center"/>
    </xf>
    <xf numFmtId="0" fontId="6" fillId="0" borderId="0" xfId="0" applyFont="1" applyBorder="1" applyAlignment="1">
      <alignment horizontal="center"/>
    </xf>
    <xf numFmtId="44" fontId="3" fillId="0" borderId="0" xfId="2" quotePrefix="1" applyFont="1" applyBorder="1" applyAlignment="1">
      <alignment horizontal="center"/>
    </xf>
    <xf numFmtId="0" fontId="9" fillId="0" borderId="12" xfId="4" applyFont="1" applyFill="1" applyBorder="1" applyAlignment="1">
      <alignment horizontal="right"/>
    </xf>
    <xf numFmtId="0" fontId="9" fillId="0" borderId="45" xfId="0" applyFont="1" applyBorder="1" applyAlignment="1">
      <alignment horizontal="center"/>
    </xf>
    <xf numFmtId="44" fontId="2" fillId="0" borderId="6" xfId="1" quotePrefix="1" applyFont="1" applyBorder="1" applyAlignment="1">
      <alignment horizontal="center"/>
    </xf>
    <xf numFmtId="44" fontId="2" fillId="0" borderId="47" xfId="1" applyFont="1" applyBorder="1" applyAlignment="1">
      <alignment horizontal="center"/>
    </xf>
    <xf numFmtId="44" fontId="2" fillId="0" borderId="48" xfId="1" applyFont="1" applyBorder="1" applyAlignment="1">
      <alignment horizontal="center"/>
    </xf>
    <xf numFmtId="0" fontId="34" fillId="0" borderId="46" xfId="3" applyFont="1" applyBorder="1" applyAlignment="1" applyProtection="1">
      <alignment horizontal="center" vertical="center" wrapText="1"/>
    </xf>
    <xf numFmtId="0" fontId="14" fillId="9" borderId="12" xfId="0" applyFont="1" applyFill="1" applyBorder="1" applyAlignment="1">
      <alignment horizontal="left" vertical="top" wrapText="1"/>
    </xf>
    <xf numFmtId="0" fontId="2" fillId="0" borderId="12" xfId="0" applyFont="1" applyBorder="1" applyAlignment="1">
      <alignment horizontal="center" vertical="center" wrapText="1"/>
    </xf>
    <xf numFmtId="0" fontId="3" fillId="0" borderId="24" xfId="0" applyFont="1" applyFill="1" applyBorder="1" applyAlignment="1">
      <alignment horizontal="center"/>
    </xf>
    <xf numFmtId="44" fontId="2" fillId="0" borderId="2" xfId="1" applyFont="1" applyBorder="1" applyAlignment="1">
      <alignment horizontal="center"/>
    </xf>
    <xf numFmtId="0" fontId="2" fillId="0" borderId="6" xfId="0" applyFont="1" applyBorder="1" applyAlignment="1">
      <alignment horizontal="right"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xf>
    <xf numFmtId="0" fontId="9" fillId="0" borderId="2" xfId="0" applyFont="1" applyBorder="1" applyAlignment="1">
      <alignment horizontal="center"/>
    </xf>
    <xf numFmtId="0" fontId="10" fillId="12" borderId="6" xfId="0" applyFont="1" applyFill="1" applyBorder="1" applyAlignment="1">
      <alignment horizontal="center" vertical="center"/>
    </xf>
    <xf numFmtId="7" fontId="5" fillId="0" borderId="4" xfId="1" applyNumberFormat="1" applyFont="1" applyBorder="1" applyAlignment="1">
      <alignment horizontal="center" vertical="center"/>
    </xf>
    <xf numFmtId="1" fontId="3" fillId="0" borderId="46" xfId="0" applyNumberFormat="1" applyFont="1" applyBorder="1" applyAlignment="1">
      <alignment horizontal="center" vertical="center"/>
    </xf>
    <xf numFmtId="1" fontId="13" fillId="0" borderId="7" xfId="0" applyNumberFormat="1" applyFont="1" applyFill="1" applyBorder="1" applyAlignment="1">
      <alignment horizontal="center" vertical="center" wrapText="1"/>
    </xf>
    <xf numFmtId="0" fontId="2" fillId="0" borderId="20" xfId="3" applyFont="1" applyBorder="1" applyAlignment="1" applyProtection="1">
      <alignment horizontal="left" vertical="center" wrapText="1"/>
    </xf>
    <xf numFmtId="0" fontId="2" fillId="0" borderId="37" xfId="0" applyFont="1" applyBorder="1" applyAlignment="1">
      <alignment horizontal="center"/>
    </xf>
    <xf numFmtId="0" fontId="0" fillId="0" borderId="37" xfId="0" applyBorder="1" applyAlignment="1">
      <alignment horizontal="right" vertical="center"/>
    </xf>
    <xf numFmtId="0" fontId="4" fillId="0" borderId="8" xfId="0" applyFont="1" applyFill="1" applyBorder="1" applyAlignment="1">
      <alignment horizontal="right" vertical="center" wrapText="1"/>
    </xf>
    <xf numFmtId="0" fontId="2" fillId="0" borderId="9" xfId="0" applyFont="1" applyBorder="1"/>
    <xf numFmtId="0" fontId="2" fillId="0" borderId="44" xfId="0" applyFont="1" applyBorder="1" applyAlignment="1">
      <alignment horizontal="center"/>
    </xf>
    <xf numFmtId="0" fontId="3" fillId="0" borderId="21" xfId="0" applyFont="1" applyBorder="1" applyAlignment="1">
      <alignment horizontal="right" vertical="top" wrapText="1"/>
    </xf>
    <xf numFmtId="0" fontId="42" fillId="12" borderId="23" xfId="0" applyFont="1" applyFill="1" applyBorder="1" applyAlignment="1">
      <alignment horizontal="center"/>
    </xf>
    <xf numFmtId="0" fontId="42" fillId="12" borderId="1" xfId="0" applyFont="1" applyFill="1" applyBorder="1" applyAlignment="1">
      <alignment horizontal="right" vertical="center" wrapText="1"/>
    </xf>
    <xf numFmtId="0" fontId="2" fillId="0" borderId="21" xfId="0" applyFont="1" applyBorder="1" applyAlignment="1">
      <alignment horizontal="right" vertical="center" wrapText="1"/>
    </xf>
    <xf numFmtId="0" fontId="21" fillId="0" borderId="43" xfId="0" applyFont="1" applyBorder="1" applyAlignment="1">
      <alignment horizontal="center" wrapText="1"/>
    </xf>
    <xf numFmtId="0" fontId="5" fillId="12" borderId="49" xfId="0" applyFont="1" applyFill="1" applyBorder="1" applyAlignment="1">
      <alignment horizontal="center" vertical="center"/>
    </xf>
    <xf numFmtId="0" fontId="2" fillId="12" borderId="49" xfId="0" applyFont="1" applyFill="1" applyBorder="1" applyAlignment="1">
      <alignment horizontal="center"/>
    </xf>
    <xf numFmtId="4" fontId="2" fillId="0" borderId="5" xfId="0" applyNumberFormat="1" applyFont="1" applyBorder="1" applyAlignment="1">
      <alignment horizontal="center"/>
    </xf>
    <xf numFmtId="1" fontId="2" fillId="12" borderId="5" xfId="0" applyNumberFormat="1" applyFont="1" applyFill="1" applyBorder="1" applyAlignment="1">
      <alignment horizontal="center"/>
    </xf>
    <xf numFmtId="164" fontId="2" fillId="0" borderId="5" xfId="0" applyNumberFormat="1" applyFont="1" applyBorder="1" applyAlignment="1">
      <alignment horizontal="center"/>
    </xf>
    <xf numFmtId="0" fontId="3" fillId="0" borderId="5" xfId="0" applyFont="1" applyBorder="1" applyAlignment="1">
      <alignment horizontal="center" vertical="center"/>
    </xf>
    <xf numFmtId="0" fontId="5" fillId="0" borderId="43" xfId="0" applyFont="1" applyBorder="1" applyAlignment="1">
      <alignment horizontal="right" vertical="center"/>
    </xf>
    <xf numFmtId="0" fontId="6" fillId="0" borderId="43" xfId="0" applyFont="1" applyBorder="1" applyAlignment="1">
      <alignment horizontal="left" vertical="center" wrapText="1"/>
    </xf>
    <xf numFmtId="0" fontId="4" fillId="12" borderId="22" xfId="0" applyFont="1" applyFill="1" applyBorder="1" applyAlignment="1">
      <alignment horizontal="right" vertical="center"/>
    </xf>
    <xf numFmtId="165" fontId="2" fillId="0" borderId="34" xfId="0" applyNumberFormat="1" applyFont="1" applyBorder="1" applyAlignment="1">
      <alignment horizontal="right" vertical="center"/>
    </xf>
    <xf numFmtId="0" fontId="2" fillId="0" borderId="19" xfId="0" quotePrefix="1" applyNumberFormat="1" applyFont="1" applyBorder="1" applyAlignment="1">
      <alignment horizontal="center" vertical="center"/>
    </xf>
    <xf numFmtId="44" fontId="2" fillId="0" borderId="14" xfId="1" applyFont="1" applyFill="1" applyBorder="1" applyAlignment="1">
      <alignment horizontal="center" vertical="center"/>
    </xf>
    <xf numFmtId="44" fontId="2" fillId="0" borderId="14" xfId="0" applyNumberFormat="1" applyFont="1" applyFill="1" applyBorder="1" applyAlignment="1">
      <alignment horizontal="center"/>
    </xf>
    <xf numFmtId="0" fontId="2" fillId="0" borderId="19" xfId="0" applyFont="1" applyBorder="1"/>
    <xf numFmtId="4" fontId="2" fillId="0" borderId="19" xfId="0" applyNumberFormat="1" applyFont="1" applyBorder="1" applyAlignment="1">
      <alignment horizontal="center"/>
    </xf>
    <xf numFmtId="44" fontId="3" fillId="0" borderId="14" xfId="0" applyNumberFormat="1" applyFont="1" applyFill="1" applyBorder="1" applyAlignment="1">
      <alignment horizontal="center"/>
    </xf>
    <xf numFmtId="1" fontId="2" fillId="0" borderId="19" xfId="0" applyNumberFormat="1" applyFont="1" applyFill="1" applyBorder="1" applyAlignment="1">
      <alignment horizontal="center" vertical="center"/>
    </xf>
    <xf numFmtId="44" fontId="3" fillId="4" borderId="14" xfId="0" applyNumberFormat="1" applyFont="1" applyFill="1" applyBorder="1" applyAlignment="1">
      <alignment horizontal="center" vertical="center"/>
    </xf>
    <xf numFmtId="0" fontId="2" fillId="0" borderId="14" xfId="0" applyFont="1" applyBorder="1" applyAlignment="1">
      <alignment horizontal="center"/>
    </xf>
    <xf numFmtId="44" fontId="2" fillId="0" borderId="14" xfId="0" applyNumberFormat="1" applyFont="1" applyBorder="1" applyAlignment="1">
      <alignment horizontal="center"/>
    </xf>
    <xf numFmtId="0" fontId="2" fillId="0" borderId="12" xfId="0" applyFont="1" applyBorder="1"/>
    <xf numFmtId="44" fontId="5" fillId="4" borderId="14" xfId="1" applyFont="1" applyFill="1" applyBorder="1"/>
    <xf numFmtId="1" fontId="2" fillId="0" borderId="19" xfId="0" applyNumberFormat="1" applyFont="1" applyFill="1" applyBorder="1" applyAlignment="1">
      <alignment horizontal="center"/>
    </xf>
    <xf numFmtId="0" fontId="2" fillId="0" borderId="19" xfId="0" applyNumberFormat="1" applyFont="1" applyFill="1" applyBorder="1" applyAlignment="1">
      <alignment horizontal="center"/>
    </xf>
    <xf numFmtId="44" fontId="2" fillId="4" borderId="14" xfId="0" applyNumberFormat="1" applyFont="1" applyFill="1" applyBorder="1" applyAlignment="1">
      <alignment horizontal="center"/>
    </xf>
    <xf numFmtId="1" fontId="2" fillId="12" borderId="19"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Border="1" applyAlignment="1">
      <alignment horizontal="right" vertical="center" wrapText="1"/>
    </xf>
    <xf numFmtId="0" fontId="2" fillId="0" borderId="26" xfId="0" quotePrefix="1" applyNumberFormat="1" applyFont="1" applyBorder="1" applyAlignment="1">
      <alignment horizontal="center" vertical="center"/>
    </xf>
    <xf numFmtId="44" fontId="2" fillId="0" borderId="55" xfId="1" applyFont="1" applyFill="1" applyBorder="1" applyAlignment="1">
      <alignment horizontal="center" vertical="center"/>
    </xf>
    <xf numFmtId="0" fontId="3" fillId="0" borderId="20" xfId="0" applyFont="1" applyFill="1" applyBorder="1" applyAlignment="1">
      <alignment horizontal="center" vertical="center" wrapText="1"/>
    </xf>
    <xf numFmtId="0" fontId="2" fillId="0" borderId="21" xfId="0" applyFont="1" applyBorder="1"/>
    <xf numFmtId="0" fontId="3" fillId="0" borderId="22" xfId="0" applyFont="1" applyBorder="1" applyAlignment="1">
      <alignment horizontal="right" vertical="top" wrapText="1"/>
    </xf>
    <xf numFmtId="44" fontId="2" fillId="0" borderId="56" xfId="1" applyFont="1" applyBorder="1" applyAlignment="1">
      <alignment horizontal="center" vertical="center"/>
    </xf>
    <xf numFmtId="44" fontId="5" fillId="4" borderId="20" xfId="1" applyFont="1" applyFill="1" applyBorder="1" applyAlignment="1">
      <alignment horizontal="center"/>
    </xf>
    <xf numFmtId="0" fontId="23" fillId="0" borderId="31" xfId="0" applyFont="1" applyBorder="1" applyAlignment="1">
      <alignment horizontal="center" vertical="top" wrapText="1"/>
    </xf>
    <xf numFmtId="0" fontId="23" fillId="0" borderId="12" xfId="0" applyFont="1" applyBorder="1" applyAlignment="1">
      <alignment horizontal="center" wrapText="1"/>
    </xf>
    <xf numFmtId="22" fontId="2" fillId="0" borderId="0" xfId="0" applyNumberFormat="1" applyFont="1" applyBorder="1"/>
    <xf numFmtId="0" fontId="9" fillId="7" borderId="12" xfId="0" applyFont="1" applyFill="1" applyBorder="1" applyAlignment="1">
      <alignment horizontal="center" wrapText="1"/>
    </xf>
    <xf numFmtId="0" fontId="34" fillId="0" borderId="19" xfId="3" applyFont="1" applyBorder="1" applyAlignment="1" applyProtection="1">
      <alignment horizontal="center" vertical="center"/>
    </xf>
    <xf numFmtId="0" fontId="2" fillId="0" borderId="12" xfId="0" applyFont="1" applyBorder="1" applyAlignment="1">
      <alignment horizontal="right"/>
    </xf>
    <xf numFmtId="0" fontId="2" fillId="0" borderId="12" xfId="0" applyFont="1" applyBorder="1" applyAlignment="1">
      <alignment horizontal="right" vertical="top" wrapText="1"/>
    </xf>
    <xf numFmtId="0" fontId="7" fillId="0" borderId="12" xfId="3" applyFont="1" applyBorder="1" applyAlignment="1" applyProtection="1">
      <alignment horizontal="right" vertical="top" wrapText="1"/>
    </xf>
    <xf numFmtId="0" fontId="5" fillId="0" borderId="57" xfId="0" applyFont="1" applyBorder="1" applyAlignment="1">
      <alignment horizontal="right"/>
    </xf>
    <xf numFmtId="0" fontId="7" fillId="0" borderId="26" xfId="3" applyFont="1" applyBorder="1" applyAlignment="1" applyProtection="1">
      <alignment horizontal="center"/>
    </xf>
    <xf numFmtId="0" fontId="3" fillId="0" borderId="57" xfId="0" applyFont="1" applyBorder="1" applyAlignment="1">
      <alignment horizontal="left" wrapText="1"/>
    </xf>
    <xf numFmtId="0" fontId="7" fillId="0" borderId="26" xfId="3" applyFont="1" applyBorder="1" applyAlignment="1" applyProtection="1">
      <alignment horizontal="center" wrapText="1"/>
    </xf>
    <xf numFmtId="0" fontId="5" fillId="0" borderId="26" xfId="0" applyFont="1" applyBorder="1" applyAlignment="1">
      <alignment horizontal="left" vertical="center" wrapText="1"/>
    </xf>
    <xf numFmtId="0" fontId="7" fillId="0" borderId="26" xfId="3" applyFont="1" applyBorder="1" applyAlignment="1" applyProtection="1">
      <alignment horizontal="center" vertical="center" wrapText="1"/>
    </xf>
    <xf numFmtId="0" fontId="3" fillId="0" borderId="59" xfId="0" applyFont="1" applyBorder="1" applyAlignment="1">
      <alignment horizontal="left" vertical="center" wrapText="1"/>
    </xf>
    <xf numFmtId="4" fontId="5" fillId="6" borderId="59" xfId="0" applyNumberFormat="1" applyFont="1" applyFill="1" applyBorder="1" applyAlignment="1">
      <alignment horizontal="left" vertical="top" wrapText="1"/>
    </xf>
    <xf numFmtId="44" fontId="5" fillId="4" borderId="60" xfId="1" applyFont="1" applyFill="1" applyBorder="1" applyAlignment="1">
      <alignment horizontal="center"/>
    </xf>
    <xf numFmtId="0" fontId="2" fillId="0" borderId="3" xfId="0" applyFont="1" applyBorder="1"/>
    <xf numFmtId="44" fontId="2" fillId="0" borderId="14" xfId="1" applyFont="1" applyBorder="1" applyAlignment="1">
      <alignment vertical="center"/>
    </xf>
    <xf numFmtId="0" fontId="5" fillId="0" borderId="0" xfId="0" applyFont="1" applyBorder="1" applyAlignment="1">
      <alignment horizontal="center" vertical="center" wrapText="1"/>
    </xf>
    <xf numFmtId="165" fontId="2" fillId="0" borderId="14" xfId="1" applyNumberFormat="1" applyFont="1" applyBorder="1" applyAlignment="1">
      <alignment vertical="center"/>
    </xf>
    <xf numFmtId="0" fontId="2" fillId="0" borderId="58" xfId="0" applyFont="1" applyBorder="1" applyAlignment="1">
      <alignment horizontal="right" vertical="center" wrapText="1"/>
    </xf>
    <xf numFmtId="165" fontId="2" fillId="4" borderId="61" xfId="1" applyNumberFormat="1" applyFont="1" applyFill="1" applyBorder="1" applyAlignment="1">
      <alignment vertical="center"/>
    </xf>
    <xf numFmtId="0" fontId="5" fillId="0" borderId="58" xfId="0" applyFont="1" applyBorder="1" applyAlignment="1">
      <alignment horizontal="right" vertical="top" wrapText="1"/>
    </xf>
    <xf numFmtId="44" fontId="2" fillId="0" borderId="61" xfId="1" applyFont="1" applyBorder="1" applyAlignment="1">
      <alignment horizontal="center"/>
    </xf>
    <xf numFmtId="0" fontId="2" fillId="0" borderId="19" xfId="0" applyFont="1" applyBorder="1" applyAlignment="1">
      <alignment horizontal="right" vertical="top" wrapText="1"/>
    </xf>
    <xf numFmtId="44" fontId="5" fillId="4" borderId="55" xfId="1" applyFont="1" applyFill="1" applyBorder="1" applyAlignment="1">
      <alignment horizontal="center" vertical="center"/>
    </xf>
    <xf numFmtId="0" fontId="15" fillId="0" borderId="19" xfId="0" applyFont="1" applyBorder="1" applyAlignment="1">
      <alignment horizontal="right" vertical="top" wrapText="1"/>
    </xf>
    <xf numFmtId="44" fontId="3" fillId="4" borderId="14" xfId="1"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12"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vertical="center"/>
    </xf>
    <xf numFmtId="0" fontId="3" fillId="0" borderId="0" xfId="0" applyFont="1" applyFill="1" applyBorder="1" applyAlignment="1">
      <alignment horizontal="center" vertical="center"/>
    </xf>
    <xf numFmtId="0" fontId="2" fillId="0" borderId="3" xfId="0" applyFont="1" applyBorder="1" applyAlignment="1">
      <alignment vertical="center"/>
    </xf>
    <xf numFmtId="0" fontId="14" fillId="4" borderId="19" xfId="0" applyNumberFormat="1" applyFont="1" applyFill="1" applyBorder="1" applyAlignment="1">
      <alignment horizontal="center" vertical="center"/>
    </xf>
    <xf numFmtId="44" fontId="9" fillId="4" borderId="1" xfId="0" applyNumberFormat="1" applyFont="1" applyFill="1" applyBorder="1" applyAlignment="1">
      <alignment horizontal="center" vertical="center"/>
    </xf>
    <xf numFmtId="0" fontId="21" fillId="0" borderId="20" xfId="4" applyFont="1" applyFill="1" applyBorder="1" applyAlignment="1">
      <alignment horizontal="center"/>
    </xf>
    <xf numFmtId="0" fontId="21" fillId="0" borderId="21" xfId="4" applyFont="1" applyFill="1" applyBorder="1" applyAlignment="1">
      <alignment horizontal="center"/>
    </xf>
    <xf numFmtId="0" fontId="25" fillId="0" borderId="37" xfId="4" applyFont="1" applyBorder="1" applyAlignment="1">
      <alignment wrapText="1"/>
    </xf>
    <xf numFmtId="0" fontId="28" fillId="13" borderId="6" xfId="3" applyFont="1" applyFill="1" applyBorder="1" applyAlignment="1" applyProtection="1">
      <alignment horizontal="center"/>
    </xf>
    <xf numFmtId="0" fontId="7" fillId="13" borderId="51" xfId="3" applyFont="1" applyFill="1" applyBorder="1" applyAlignment="1" applyProtection="1">
      <alignment horizontal="center" vertical="center" wrapText="1"/>
      <protection locked="0"/>
    </xf>
    <xf numFmtId="0" fontId="7" fillId="4" borderId="62" xfId="3" applyFont="1" applyFill="1" applyBorder="1" applyAlignment="1" applyProtection="1">
      <alignment horizontal="center" wrapText="1"/>
    </xf>
    <xf numFmtId="0" fontId="21" fillId="0" borderId="53" xfId="3" applyFont="1" applyFill="1" applyBorder="1" applyAlignment="1" applyProtection="1">
      <alignment horizontal="left" vertical="center" wrapText="1"/>
      <protection locked="0"/>
    </xf>
    <xf numFmtId="0" fontId="7" fillId="4" borderId="62" xfId="3" applyFont="1" applyFill="1" applyBorder="1" applyAlignment="1" applyProtection="1">
      <alignment horizontal="center" vertical="top" wrapText="1"/>
    </xf>
    <xf numFmtId="0" fontId="3" fillId="12" borderId="29" xfId="0" applyFont="1" applyFill="1" applyBorder="1" applyAlignment="1" applyProtection="1">
      <alignment horizontal="center"/>
      <protection locked="0"/>
    </xf>
    <xf numFmtId="0" fontId="3" fillId="16" borderId="42" xfId="0" applyFont="1" applyFill="1" applyBorder="1" applyAlignment="1"/>
    <xf numFmtId="0" fontId="3" fillId="12" borderId="58" xfId="0" applyFont="1" applyFill="1" applyBorder="1" applyAlignment="1" applyProtection="1">
      <alignment horizontal="center"/>
      <protection locked="0"/>
    </xf>
    <xf numFmtId="0" fontId="3" fillId="16" borderId="50" xfId="0" applyFont="1" applyFill="1" applyBorder="1" applyAlignment="1"/>
    <xf numFmtId="0" fontId="3" fillId="12" borderId="32" xfId="0" applyFont="1" applyFill="1" applyBorder="1" applyAlignment="1" applyProtection="1">
      <alignment horizontal="center"/>
      <protection locked="0"/>
    </xf>
    <xf numFmtId="0" fontId="3" fillId="16" borderId="63" xfId="0" applyFont="1" applyFill="1" applyBorder="1" applyAlignment="1"/>
    <xf numFmtId="0" fontId="3" fillId="0" borderId="2" xfId="0" applyFont="1" applyBorder="1" applyAlignment="1">
      <alignment horizontal="center" vertical="center"/>
    </xf>
    <xf numFmtId="0" fontId="0" fillId="0" borderId="3" xfId="0" applyBorder="1" applyAlignment="1">
      <alignment wrapText="1"/>
    </xf>
    <xf numFmtId="0" fontId="0" fillId="0" borderId="0" xfId="0" applyNumberFormat="1"/>
    <xf numFmtId="0" fontId="2" fillId="0" borderId="12" xfId="0" applyFont="1" applyBorder="1" applyAlignment="1">
      <alignment horizontal="left" vertical="top" wrapText="1"/>
    </xf>
    <xf numFmtId="0" fontId="3" fillId="0" borderId="0" xfId="0" applyFont="1" applyBorder="1" applyAlignment="1">
      <alignment horizontal="center" vertical="center"/>
    </xf>
    <xf numFmtId="0" fontId="2" fillId="0" borderId="0" xfId="3" applyFont="1" applyBorder="1" applyAlignment="1" applyProtection="1">
      <alignment horizontal="center" vertical="center"/>
    </xf>
    <xf numFmtId="0" fontId="2" fillId="0" borderId="3" xfId="3" applyFont="1" applyBorder="1" applyAlignment="1" applyProtection="1">
      <alignment horizontal="center" vertical="center"/>
    </xf>
    <xf numFmtId="0" fontId="28" fillId="17" borderId="31" xfId="3" applyFont="1" applyFill="1" applyBorder="1" applyAlignment="1" applyProtection="1">
      <alignment horizontal="center" vertical="top" wrapText="1"/>
    </xf>
    <xf numFmtId="0" fontId="3" fillId="16" borderId="52" xfId="0" applyFont="1" applyFill="1" applyBorder="1" applyAlignment="1"/>
    <xf numFmtId="0" fontId="28" fillId="13" borderId="21" xfId="3" applyFont="1" applyFill="1" applyBorder="1" applyAlignment="1" applyProtection="1">
      <alignment horizontal="center" vertical="top" wrapText="1"/>
    </xf>
    <xf numFmtId="0" fontId="2" fillId="0" borderId="12" xfId="3" applyFont="1" applyBorder="1" applyAlignment="1" applyProtection="1">
      <alignment horizontal="center" vertical="center" wrapText="1"/>
    </xf>
    <xf numFmtId="0" fontId="3" fillId="19" borderId="12" xfId="0" applyFont="1" applyFill="1" applyBorder="1" applyAlignment="1">
      <alignment horizontal="left" wrapText="1"/>
    </xf>
    <xf numFmtId="0" fontId="45" fillId="0" borderId="1" xfId="0" applyFont="1" applyFill="1" applyBorder="1" applyAlignment="1">
      <alignment horizontal="center" vertical="center"/>
    </xf>
    <xf numFmtId="4" fontId="3" fillId="6" borderId="26" xfId="0" applyNumberFormat="1" applyFont="1" applyFill="1" applyBorder="1" applyAlignment="1">
      <alignment horizontal="left" vertical="top" wrapText="1"/>
    </xf>
    <xf numFmtId="165" fontId="5" fillId="0" borderId="10" xfId="1" applyNumberFormat="1" applyFont="1" applyBorder="1" applyAlignment="1">
      <alignment horizontal="center" vertical="center"/>
    </xf>
    <xf numFmtId="0" fontId="36" fillId="0" borderId="45" xfId="3" applyFont="1" applyBorder="1" applyAlignment="1" applyProtection="1">
      <alignment horizontal="center" vertical="center" wrapText="1"/>
    </xf>
    <xf numFmtId="0" fontId="5" fillId="12" borderId="36" xfId="0" applyFont="1" applyFill="1" applyBorder="1" applyAlignment="1">
      <alignment horizontal="center" vertical="center"/>
    </xf>
    <xf numFmtId="0" fontId="2" fillId="0" borderId="57" xfId="0" quotePrefix="1" applyNumberFormat="1" applyFont="1" applyBorder="1" applyAlignment="1">
      <alignment horizontal="center" vertical="center"/>
    </xf>
    <xf numFmtId="0" fontId="2" fillId="0" borderId="46" xfId="3" applyFont="1" applyBorder="1" applyAlignment="1" applyProtection="1">
      <alignment horizontal="right"/>
    </xf>
    <xf numFmtId="0" fontId="6" fillId="12" borderId="43" xfId="0" applyFont="1" applyFill="1" applyBorder="1" applyAlignment="1">
      <alignment horizontal="center" vertical="center"/>
    </xf>
    <xf numFmtId="0" fontId="10" fillId="0" borderId="57" xfId="0" applyFont="1" applyBorder="1" applyAlignment="1">
      <alignment horizontal="center" vertical="center" wrapText="1"/>
    </xf>
    <xf numFmtId="0" fontId="10" fillId="0" borderId="35" xfId="0" applyFont="1" applyBorder="1" applyAlignment="1">
      <alignment horizontal="center" vertical="center" wrapText="1"/>
    </xf>
    <xf numFmtId="1" fontId="2" fillId="0" borderId="57" xfId="0" applyNumberFormat="1" applyFont="1" applyFill="1" applyBorder="1" applyAlignment="1">
      <alignment horizontal="center" vertical="center"/>
    </xf>
    <xf numFmtId="0" fontId="3" fillId="0" borderId="26" xfId="0" applyFont="1" applyBorder="1" applyAlignment="1">
      <alignment horizontal="right" vertical="top" wrapText="1"/>
    </xf>
    <xf numFmtId="1" fontId="5" fillId="0" borderId="26" xfId="0" applyNumberFormat="1" applyFont="1" applyFill="1" applyBorder="1" applyAlignment="1">
      <alignment horizontal="center" vertical="top" wrapText="1"/>
    </xf>
    <xf numFmtId="0" fontId="28" fillId="0" borderId="20" xfId="3" applyFont="1" applyBorder="1" applyAlignment="1" applyProtection="1">
      <alignment horizontal="right" wrapText="1"/>
    </xf>
    <xf numFmtId="0" fontId="42" fillId="12" borderId="20" xfId="0" applyFont="1" applyFill="1" applyBorder="1" applyAlignment="1">
      <alignment horizontal="center" vertical="center"/>
    </xf>
    <xf numFmtId="0" fontId="5" fillId="0" borderId="21" xfId="0" applyFont="1" applyBorder="1" applyAlignment="1">
      <alignment horizontal="right" vertical="center" wrapText="1"/>
    </xf>
    <xf numFmtId="0" fontId="0" fillId="0" borderId="22" xfId="0" applyBorder="1" applyAlignment="1">
      <alignment vertical="center"/>
    </xf>
    <xf numFmtId="0" fontId="5" fillId="0" borderId="19" xfId="0" applyFont="1" applyBorder="1" applyAlignment="1">
      <alignment horizontal="right" vertical="center" wrapText="1"/>
    </xf>
    <xf numFmtId="0" fontId="0" fillId="0" borderId="1" xfId="0" applyBorder="1" applyAlignment="1">
      <alignment horizontal="right" vertical="center"/>
    </xf>
    <xf numFmtId="0" fontId="2" fillId="0" borderId="0" xfId="0" applyFont="1" applyBorder="1" applyAlignment="1">
      <alignment horizontal="right" vertical="top" wrapText="1"/>
    </xf>
    <xf numFmtId="0" fontId="0" fillId="0" borderId="0" xfId="0" applyBorder="1" applyAlignment="1">
      <alignment wrapText="1"/>
    </xf>
    <xf numFmtId="0" fontId="2" fillId="12"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58" xfId="0" applyFont="1" applyBorder="1" applyAlignment="1">
      <alignment horizontal="right" vertical="center" wrapText="1"/>
    </xf>
    <xf numFmtId="0" fontId="0" fillId="0" borderId="10" xfId="0" applyBorder="1" applyAlignment="1">
      <alignment horizontal="right" vertical="center"/>
    </xf>
    <xf numFmtId="1" fontId="5" fillId="0" borderId="5" xfId="0" applyNumberFormat="1" applyFont="1" applyFill="1" applyBorder="1" applyAlignment="1">
      <alignment horizontal="center" vertical="center" wrapText="1"/>
    </xf>
    <xf numFmtId="0" fontId="0" fillId="0" borderId="10" xfId="0" applyBorder="1" applyAlignment="1">
      <alignment vertical="center"/>
    </xf>
    <xf numFmtId="0" fontId="15" fillId="0" borderId="58" xfId="0" applyFont="1" applyBorder="1" applyAlignment="1">
      <alignment horizontal="center" vertical="center" wrapText="1"/>
    </xf>
    <xf numFmtId="0" fontId="0" fillId="0" borderId="49" xfId="0" applyBorder="1" applyAlignment="1">
      <alignment horizontal="center" vertical="center"/>
    </xf>
    <xf numFmtId="0" fontId="0" fillId="0" borderId="10" xfId="0" applyBorder="1" applyAlignment="1">
      <alignment horizontal="center" vertical="center"/>
    </xf>
    <xf numFmtId="22" fontId="2" fillId="0" borderId="0" xfId="0" applyNumberFormat="1" applyFont="1" applyBorder="1" applyAlignment="1">
      <alignment horizontal="center"/>
    </xf>
    <xf numFmtId="0" fontId="2" fillId="0" borderId="0" xfId="0" applyFont="1" applyBorder="1" applyAlignment="1">
      <alignment horizontal="center" wrapText="1"/>
    </xf>
    <xf numFmtId="0" fontId="5" fillId="0" borderId="12" xfId="0" applyFont="1" applyBorder="1" applyAlignment="1">
      <alignment horizontal="center" vertical="top" wrapText="1"/>
    </xf>
    <xf numFmtId="0" fontId="5" fillId="0" borderId="0" xfId="0" applyFont="1" applyBorder="1" applyAlignment="1">
      <alignment horizontal="center" vertical="top" wrapText="1"/>
    </xf>
    <xf numFmtId="0" fontId="16" fillId="0" borderId="3" xfId="0" applyFont="1" applyBorder="1" applyAlignment="1"/>
    <xf numFmtId="0" fontId="7" fillId="0" borderId="58" xfId="3" applyFont="1" applyBorder="1" applyAlignment="1" applyProtection="1">
      <alignment horizontal="right" vertical="center" wrapText="1"/>
    </xf>
    <xf numFmtId="0" fontId="7" fillId="0" borderId="10" xfId="3" applyFont="1" applyBorder="1" applyAlignment="1" applyProtection="1">
      <alignment horizontal="right" vertical="center"/>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24" xfId="0" applyFont="1" applyBorder="1" applyAlignment="1">
      <alignment horizontal="center" wrapText="1"/>
    </xf>
    <xf numFmtId="0" fontId="16" fillId="0" borderId="2" xfId="0" applyFont="1" applyBorder="1" applyAlignment="1">
      <alignment horizont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9" fillId="0" borderId="0" xfId="0" applyFont="1" applyBorder="1" applyAlignment="1">
      <alignment horizontal="center" wrapText="1"/>
    </xf>
    <xf numFmtId="0" fontId="19" fillId="0" borderId="3" xfId="0" applyFont="1" applyBorder="1" applyAlignment="1">
      <alignment horizontal="center" wrapText="1"/>
    </xf>
    <xf numFmtId="0" fontId="17" fillId="0" borderId="0" xfId="0" applyFont="1" applyBorder="1" applyAlignment="1">
      <alignment horizontal="center" wrapText="1"/>
    </xf>
    <xf numFmtId="0" fontId="32" fillId="0" borderId="0" xfId="0" applyFont="1" applyBorder="1" applyAlignment="1"/>
    <xf numFmtId="0" fontId="32" fillId="0" borderId="3" xfId="0" applyFont="1" applyBorder="1" applyAlignment="1"/>
    <xf numFmtId="0" fontId="3" fillId="0" borderId="1" xfId="0" applyFont="1" applyBorder="1" applyAlignment="1">
      <alignment horizontal="center" vertical="top" wrapText="1"/>
    </xf>
    <xf numFmtId="0" fontId="16" fillId="0" borderId="1" xfId="0" applyFont="1" applyBorder="1" applyAlignment="1">
      <alignment horizontal="center" wrapText="1"/>
    </xf>
    <xf numFmtId="0" fontId="16" fillId="0" borderId="1" xfId="0" applyFont="1" applyBorder="1" applyAlignment="1">
      <alignment wrapText="1"/>
    </xf>
    <xf numFmtId="44" fontId="22" fillId="4" borderId="0" xfId="0" applyNumberFormat="1" applyFont="1" applyFill="1" applyBorder="1" applyAlignment="1">
      <alignment horizontal="left" vertical="top" wrapText="1"/>
    </xf>
    <xf numFmtId="0" fontId="16" fillId="4" borderId="0" xfId="0" applyFont="1" applyFill="1" applyBorder="1" applyAlignment="1">
      <alignment horizontal="left" vertical="top" wrapText="1"/>
    </xf>
    <xf numFmtId="0" fontId="7" fillId="14" borderId="0" xfId="3" applyFont="1" applyFill="1" applyBorder="1" applyAlignment="1" applyProtection="1">
      <alignment horizontal="center" vertical="top" wrapText="1"/>
    </xf>
    <xf numFmtId="0" fontId="7" fillId="14" borderId="0" xfId="3" applyFont="1" applyFill="1" applyBorder="1" applyAlignment="1" applyProtection="1"/>
    <xf numFmtId="0" fontId="27" fillId="0" borderId="0" xfId="0" applyFont="1" applyBorder="1" applyAlignment="1">
      <alignment horizontal="center" vertical="top" wrapText="1"/>
    </xf>
    <xf numFmtId="0" fontId="44" fillId="0" borderId="0" xfId="0" applyFont="1" applyBorder="1" applyAlignment="1">
      <alignment horizontal="center" vertical="top" wrapText="1"/>
    </xf>
    <xf numFmtId="0" fontId="35" fillId="0" borderId="0" xfId="0" applyFont="1" applyBorder="1" applyAlignment="1">
      <alignment horizontal="right" vertical="top" wrapText="1"/>
    </xf>
    <xf numFmtId="0" fontId="43" fillId="0" borderId="5" xfId="0" applyFont="1" applyBorder="1" applyAlignment="1">
      <alignment horizontal="center" vertical="top" wrapText="1"/>
    </xf>
    <xf numFmtId="0" fontId="43" fillId="0" borderId="49" xfId="0" applyFont="1" applyBorder="1" applyAlignment="1">
      <alignment horizontal="center" vertical="top" wrapText="1"/>
    </xf>
    <xf numFmtId="0" fontId="43" fillId="0" borderId="10" xfId="0" applyFont="1" applyBorder="1" applyAlignment="1">
      <alignment horizontal="center" vertical="top" wrapText="1"/>
    </xf>
    <xf numFmtId="0" fontId="0" fillId="0" borderId="0" xfId="0" applyBorder="1" applyAlignment="1">
      <alignment horizontal="center"/>
    </xf>
    <xf numFmtId="0" fontId="2" fillId="12" borderId="0" xfId="0" applyFont="1" applyFill="1" applyBorder="1" applyAlignment="1">
      <alignment horizontal="center" vertical="top" wrapText="1"/>
    </xf>
    <xf numFmtId="0" fontId="0" fillId="12" borderId="0" xfId="0" applyFill="1" applyBorder="1" applyAlignment="1"/>
    <xf numFmtId="0" fontId="17" fillId="0" borderId="0" xfId="0" applyFont="1" applyBorder="1" applyAlignment="1">
      <alignment horizontal="left"/>
    </xf>
    <xf numFmtId="0" fontId="2" fillId="0" borderId="31" xfId="0" applyFont="1" applyBorder="1" applyAlignment="1">
      <alignment horizontal="center" vertical="center" wrapText="1"/>
    </xf>
    <xf numFmtId="0" fontId="2" fillId="0" borderId="24" xfId="0" applyFont="1" applyBorder="1" applyAlignment="1">
      <alignment horizontal="center" vertical="center" wrapText="1"/>
    </xf>
    <xf numFmtId="0" fontId="9" fillId="5" borderId="49" xfId="0" applyFont="1" applyFill="1" applyBorder="1" applyAlignment="1">
      <alignment horizontal="center" vertical="center" wrapText="1"/>
    </xf>
    <xf numFmtId="0" fontId="16" fillId="5" borderId="49" xfId="0" applyFont="1" applyFill="1" applyBorder="1" applyAlignment="1">
      <alignment horizontal="center" vertical="center"/>
    </xf>
    <xf numFmtId="0" fontId="16" fillId="5" borderId="50" xfId="0" applyFont="1" applyFill="1" applyBorder="1" applyAlignment="1">
      <alignment horizontal="center" vertic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17" fillId="6" borderId="31" xfId="0" applyFont="1" applyFill="1" applyBorder="1" applyAlignment="1">
      <alignment horizontal="center" vertical="center"/>
    </xf>
    <xf numFmtId="0" fontId="32" fillId="6" borderId="24" xfId="0" applyFont="1" applyFill="1" applyBorder="1" applyAlignment="1">
      <alignment vertical="center"/>
    </xf>
    <xf numFmtId="0" fontId="32" fillId="6" borderId="2" xfId="0" applyFont="1" applyFill="1" applyBorder="1" applyAlignment="1">
      <alignment vertical="center"/>
    </xf>
    <xf numFmtId="0" fontId="3" fillId="15" borderId="44" xfId="0" applyFont="1" applyFill="1" applyBorder="1" applyAlignment="1">
      <alignment horizontal="center" vertical="top" wrapText="1"/>
    </xf>
    <xf numFmtId="0" fontId="3" fillId="15" borderId="43" xfId="0" applyFont="1" applyFill="1" applyBorder="1" applyAlignment="1">
      <alignment horizontal="center" vertical="top" wrapText="1"/>
    </xf>
    <xf numFmtId="0" fontId="3" fillId="15" borderId="52" xfId="0" applyFont="1" applyFill="1" applyBorder="1" applyAlignment="1">
      <alignment horizontal="center" vertical="top" wrapText="1"/>
    </xf>
    <xf numFmtId="0" fontId="2" fillId="15" borderId="35" xfId="0" applyFont="1" applyFill="1" applyBorder="1" applyAlignment="1">
      <alignment horizontal="center" vertical="center" wrapText="1"/>
    </xf>
    <xf numFmtId="0" fontId="2" fillId="15" borderId="36" xfId="0" applyFont="1" applyFill="1" applyBorder="1" applyAlignment="1">
      <alignment horizontal="center" vertical="center" wrapText="1"/>
    </xf>
    <xf numFmtId="0" fontId="2" fillId="15" borderId="54" xfId="0" applyFont="1" applyFill="1" applyBorder="1" applyAlignment="1">
      <alignment horizontal="center" vertical="center" wrapText="1"/>
    </xf>
    <xf numFmtId="0" fontId="25" fillId="20" borderId="21" xfId="3" applyFont="1" applyFill="1" applyBorder="1" applyAlignment="1" applyProtection="1">
      <alignment horizontal="center" vertical="center" wrapText="1"/>
    </xf>
    <xf numFmtId="0" fontId="25" fillId="20" borderId="22" xfId="0" applyFont="1" applyFill="1" applyBorder="1" applyAlignment="1">
      <alignment horizontal="center" vertical="center" wrapText="1"/>
    </xf>
    <xf numFmtId="0" fontId="35" fillId="20" borderId="23" xfId="0" applyFont="1" applyFill="1" applyBorder="1" applyAlignment="1">
      <alignment horizontal="center" vertical="center" wrapText="1"/>
    </xf>
    <xf numFmtId="0" fontId="5" fillId="0" borderId="12" xfId="0" applyFont="1" applyBorder="1" applyAlignment="1">
      <alignment horizontal="center" vertical="top"/>
    </xf>
    <xf numFmtId="0" fontId="0" fillId="0" borderId="3" xfId="0" applyBorder="1" applyAlignment="1">
      <alignment horizontal="center"/>
    </xf>
    <xf numFmtId="44" fontId="3" fillId="0" borderId="22" xfId="1" applyFont="1" applyBorder="1" applyAlignment="1">
      <alignment horizontal="right" vertical="center"/>
    </xf>
    <xf numFmtId="44" fontId="3" fillId="0" borderId="23" xfId="1" applyFont="1" applyBorder="1" applyAlignment="1">
      <alignment horizontal="right" vertical="center"/>
    </xf>
    <xf numFmtId="0" fontId="3" fillId="18" borderId="6" xfId="3" applyFont="1" applyFill="1" applyBorder="1" applyAlignment="1" applyProtection="1">
      <alignment horizontal="center" vertical="center" wrapText="1"/>
    </xf>
    <xf numFmtId="0" fontId="16" fillId="18" borderId="7" xfId="0" applyFont="1" applyFill="1" applyBorder="1" applyAlignment="1">
      <alignment horizontal="center" vertical="center" wrapText="1"/>
    </xf>
    <xf numFmtId="0" fontId="16" fillId="18" borderId="4" xfId="0" applyFont="1" applyFill="1" applyBorder="1" applyAlignment="1">
      <alignment horizontal="center" vertical="center" wrapText="1"/>
    </xf>
    <xf numFmtId="0" fontId="20" fillId="0" borderId="53" xfId="0" applyFont="1" applyBorder="1" applyAlignment="1">
      <alignment horizontal="center" wrapText="1"/>
    </xf>
    <xf numFmtId="0" fontId="0" fillId="0" borderId="36" xfId="0" applyBorder="1" applyAlignment="1">
      <alignment horizontal="center" wrapText="1"/>
    </xf>
    <xf numFmtId="0" fontId="0" fillId="0" borderId="54" xfId="0" applyBorder="1" applyAlignment="1">
      <alignment horizontal="center" wrapText="1"/>
    </xf>
    <xf numFmtId="0" fontId="17" fillId="0" borderId="12" xfId="0" applyFont="1"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25" fillId="3" borderId="21" xfId="0" applyFont="1" applyFill="1" applyBorder="1" applyAlignment="1">
      <alignment horizontal="center" vertical="top" wrapText="1"/>
    </xf>
    <xf numFmtId="0" fontId="0" fillId="0" borderId="22" xfId="0" applyBorder="1" applyAlignment="1"/>
    <xf numFmtId="0" fontId="0" fillId="0" borderId="23" xfId="0" applyBorder="1" applyAlignment="1"/>
    <xf numFmtId="0" fontId="9" fillId="0" borderId="43" xfId="0" applyFont="1" applyBorder="1" applyAlignment="1">
      <alignment horizontal="center" wrapText="1"/>
    </xf>
    <xf numFmtId="0" fontId="0" fillId="0" borderId="43" xfId="0" applyBorder="1" applyAlignment="1">
      <alignment horizontal="center"/>
    </xf>
    <xf numFmtId="0" fontId="0" fillId="0" borderId="52" xfId="0" applyBorder="1" applyAlignment="1">
      <alignment horizontal="center"/>
    </xf>
    <xf numFmtId="0" fontId="5" fillId="3" borderId="12" xfId="0" applyFont="1" applyFill="1" applyBorder="1" applyAlignment="1" applyProtection="1">
      <alignment horizontal="center" wrapText="1"/>
      <protection locked="0"/>
    </xf>
    <xf numFmtId="0" fontId="16" fillId="3" borderId="12" xfId="0" applyFont="1" applyFill="1" applyBorder="1" applyAlignment="1">
      <alignment horizontal="center" wrapText="1"/>
    </xf>
    <xf numFmtId="0" fontId="9" fillId="5" borderId="49" xfId="0" applyFont="1" applyFill="1" applyBorder="1" applyAlignment="1">
      <alignment horizontal="center" vertical="center"/>
    </xf>
    <xf numFmtId="0" fontId="0" fillId="0" borderId="50" xfId="0" applyBorder="1" applyAlignment="1">
      <alignment horizontal="center" vertical="center"/>
    </xf>
    <xf numFmtId="0" fontId="25" fillId="0" borderId="35" xfId="4" applyFont="1" applyBorder="1" applyAlignment="1">
      <alignment horizontal="center"/>
    </xf>
    <xf numFmtId="0" fontId="25" fillId="0" borderId="37" xfId="4" applyFont="1" applyBorder="1" applyAlignment="1">
      <alignment horizontal="center"/>
    </xf>
    <xf numFmtId="0" fontId="5" fillId="0" borderId="0" xfId="0" applyFont="1" applyBorder="1" applyAlignment="1">
      <alignment horizontal="center" vertical="top"/>
    </xf>
    <xf numFmtId="0" fontId="2" fillId="0" borderId="1" xfId="0" applyFont="1" applyBorder="1" applyAlignment="1">
      <alignment horizontal="right" vertical="center" wrapText="1"/>
    </xf>
    <xf numFmtId="0" fontId="12" fillId="0" borderId="0" xfId="5" applyNumberFormat="1" applyFont="1" applyAlignment="1">
      <alignment horizontal="center" vertical="center"/>
    </xf>
    <xf numFmtId="0" fontId="33" fillId="0" borderId="0" xfId="5" applyNumberFormat="1" applyFont="1" applyAlignment="1">
      <alignment horizontal="center" vertical="center"/>
    </xf>
    <xf numFmtId="0" fontId="23" fillId="0" borderId="0" xfId="5" applyFont="1" applyAlignment="1">
      <alignment horizontal="center" vertical="top" wrapText="1"/>
    </xf>
    <xf numFmtId="0" fontId="46" fillId="0" borderId="21" xfId="5" applyFont="1" applyBorder="1" applyAlignment="1">
      <alignment horizontal="center" wrapText="1"/>
    </xf>
    <xf numFmtId="0" fontId="46" fillId="0" borderId="22" xfId="5" applyFont="1" applyBorder="1" applyAlignment="1">
      <alignment horizontal="center" wrapText="1"/>
    </xf>
    <xf numFmtId="0" fontId="46" fillId="0" borderId="23" xfId="5" applyFont="1" applyBorder="1" applyAlignment="1">
      <alignment horizontal="center" wrapText="1"/>
    </xf>
    <xf numFmtId="0" fontId="2" fillId="0" borderId="0" xfId="5" applyFont="1"/>
    <xf numFmtId="0" fontId="9" fillId="7" borderId="0" xfId="5" applyFont="1" applyFill="1" applyAlignment="1">
      <alignment horizontal="center" wrapText="1"/>
    </xf>
    <xf numFmtId="0" fontId="2" fillId="0" borderId="21" xfId="5" applyFont="1" applyBorder="1" applyAlignment="1">
      <alignment horizontal="center" wrapText="1"/>
    </xf>
    <xf numFmtId="0" fontId="1" fillId="0" borderId="22" xfId="5" applyBorder="1" applyAlignment="1">
      <alignment horizontal="center" wrapText="1"/>
    </xf>
    <xf numFmtId="0" fontId="21" fillId="0" borderId="20" xfId="5" applyFont="1" applyBorder="1" applyAlignment="1">
      <alignment horizontal="center" wrapText="1"/>
    </xf>
    <xf numFmtId="44" fontId="21" fillId="4" borderId="20" xfId="5" applyNumberFormat="1" applyFont="1" applyFill="1" applyBorder="1" applyAlignment="1">
      <alignment horizontal="center"/>
    </xf>
    <xf numFmtId="0" fontId="21" fillId="21" borderId="21" xfId="5" applyFont="1" applyFill="1" applyBorder="1" applyAlignment="1">
      <alignment horizontal="center" wrapText="1"/>
    </xf>
    <xf numFmtId="0" fontId="21" fillId="21" borderId="22" xfId="5" applyFont="1" applyFill="1" applyBorder="1" applyAlignment="1">
      <alignment horizontal="center" wrapText="1"/>
    </xf>
    <xf numFmtId="0" fontId="21" fillId="21" borderId="23" xfId="5" applyFont="1" applyFill="1" applyBorder="1" applyAlignment="1">
      <alignment horizontal="center" wrapText="1"/>
    </xf>
    <xf numFmtId="0" fontId="21" fillId="0" borderId="0" xfId="5" applyFont="1" applyAlignment="1">
      <alignment horizontal="center" wrapText="1"/>
    </xf>
    <xf numFmtId="0" fontId="47" fillId="0" borderId="31" xfId="5" applyFont="1" applyBorder="1" applyAlignment="1">
      <alignment horizontal="center" wrapText="1"/>
    </xf>
    <xf numFmtId="0" fontId="47" fillId="0" borderId="24" xfId="5" applyFont="1" applyBorder="1" applyAlignment="1">
      <alignment horizontal="center" wrapText="1"/>
    </xf>
    <xf numFmtId="0" fontId="22" fillId="0" borderId="2" xfId="5" applyFont="1" applyBorder="1" applyAlignment="1">
      <alignment horizontal="center"/>
    </xf>
    <xf numFmtId="0" fontId="23" fillId="0" borderId="0" xfId="5" applyFont="1" applyAlignment="1">
      <alignment horizontal="center" wrapText="1"/>
    </xf>
    <xf numFmtId="0" fontId="1" fillId="0" borderId="12" xfId="5" applyFont="1" applyBorder="1"/>
    <xf numFmtId="1" fontId="23" fillId="0" borderId="0" xfId="5" applyNumberFormat="1" applyFont="1" applyFill="1" applyBorder="1" applyAlignment="1">
      <alignment horizontal="center"/>
    </xf>
    <xf numFmtId="0" fontId="22" fillId="0" borderId="0" xfId="5" applyFont="1" applyFill="1" applyBorder="1" applyAlignment="1">
      <alignment horizontal="center"/>
    </xf>
    <xf numFmtId="0" fontId="22" fillId="0" borderId="3" xfId="5" applyFont="1" applyFill="1" applyBorder="1" applyAlignment="1">
      <alignment horizontal="center"/>
    </xf>
    <xf numFmtId="0" fontId="25" fillId="21" borderId="21" xfId="3" applyFont="1" applyFill="1" applyBorder="1" applyAlignment="1" applyProtection="1">
      <alignment horizontal="center" vertical="center"/>
    </xf>
    <xf numFmtId="0" fontId="1" fillId="0" borderId="1" xfId="5" applyFont="1" applyBorder="1" applyAlignment="1">
      <alignment horizontal="center"/>
    </xf>
    <xf numFmtId="0" fontId="7" fillId="0" borderId="0" xfId="3" applyFont="1" applyAlignment="1" applyProtection="1">
      <alignment horizontal="center" vertical="center" wrapText="1"/>
    </xf>
    <xf numFmtId="1" fontId="1" fillId="0" borderId="8" xfId="3" applyNumberFormat="1" applyFont="1" applyBorder="1" applyAlignment="1" applyProtection="1">
      <alignment horizontal="center" vertical="center" wrapText="1"/>
    </xf>
    <xf numFmtId="1" fontId="1" fillId="0" borderId="1" xfId="3" applyNumberFormat="1" applyFont="1" applyBorder="1" applyAlignment="1" applyProtection="1">
      <alignment horizontal="center" vertical="center"/>
    </xf>
    <xf numFmtId="0" fontId="3" fillId="22" borderId="29" xfId="5" applyFont="1" applyFill="1" applyBorder="1" applyAlignment="1" applyProtection="1">
      <alignment horizontal="center"/>
      <protection locked="0"/>
    </xf>
    <xf numFmtId="0" fontId="3" fillId="16" borderId="42" xfId="5" applyFont="1" applyFill="1" applyBorder="1" applyAlignment="1"/>
    <xf numFmtId="0" fontId="19" fillId="0" borderId="0" xfId="5" applyFont="1" applyBorder="1" applyAlignment="1">
      <alignment horizontal="center" wrapText="1"/>
    </xf>
    <xf numFmtId="0" fontId="19" fillId="0" borderId="3" xfId="5" applyFont="1" applyBorder="1" applyAlignment="1">
      <alignment horizontal="center" wrapText="1"/>
    </xf>
    <xf numFmtId="0" fontId="3" fillId="22" borderId="58" xfId="5" applyFont="1" applyFill="1" applyBorder="1" applyAlignment="1" applyProtection="1">
      <alignment horizontal="center"/>
      <protection locked="0"/>
    </xf>
    <xf numFmtId="0" fontId="3" fillId="16" borderId="50" xfId="5" applyFont="1" applyFill="1" applyBorder="1" applyAlignment="1"/>
    <xf numFmtId="0" fontId="17" fillId="0" borderId="0" xfId="5" applyFont="1" applyBorder="1" applyAlignment="1">
      <alignment horizontal="center" wrapText="1"/>
    </xf>
    <xf numFmtId="0" fontId="29" fillId="0" borderId="0" xfId="5" applyFont="1" applyBorder="1" applyAlignment="1"/>
    <xf numFmtId="0" fontId="29" fillId="0" borderId="3" xfId="5" applyFont="1" applyBorder="1" applyAlignment="1"/>
    <xf numFmtId="0" fontId="3" fillId="22" borderId="32" xfId="5" applyFont="1" applyFill="1" applyBorder="1" applyAlignment="1" applyProtection="1">
      <alignment horizontal="center"/>
      <protection locked="0"/>
    </xf>
    <xf numFmtId="0" fontId="3" fillId="16" borderId="63" xfId="5" applyFont="1" applyFill="1" applyBorder="1" applyAlignment="1">
      <alignment horizontal="left"/>
    </xf>
    <xf numFmtId="0" fontId="9" fillId="0" borderId="43" xfId="5" applyFont="1" applyBorder="1" applyAlignment="1">
      <alignment horizontal="center" wrapText="1"/>
    </xf>
    <xf numFmtId="0" fontId="1" fillId="0" borderId="43" xfId="5" applyBorder="1" applyAlignment="1">
      <alignment horizontal="center"/>
    </xf>
    <xf numFmtId="0" fontId="1" fillId="0" borderId="52" xfId="5" applyBorder="1" applyAlignment="1">
      <alignment horizontal="center"/>
    </xf>
    <xf numFmtId="0" fontId="7" fillId="0" borderId="44" xfId="3" applyFont="1" applyFill="1" applyBorder="1" applyAlignment="1" applyProtection="1">
      <alignment horizontal="center" vertical="center" wrapText="1"/>
      <protection locked="0"/>
    </xf>
    <xf numFmtId="0" fontId="9" fillId="6" borderId="49" xfId="5" applyFont="1" applyFill="1" applyBorder="1" applyAlignment="1">
      <alignment horizontal="center" vertical="center" wrapText="1"/>
    </xf>
    <xf numFmtId="0" fontId="16" fillId="6" borderId="49" xfId="5" applyFont="1" applyFill="1" applyBorder="1" applyAlignment="1">
      <alignment horizontal="center" vertical="center"/>
    </xf>
    <xf numFmtId="0" fontId="16" fillId="6" borderId="50" xfId="5" applyFont="1" applyFill="1" applyBorder="1" applyAlignment="1">
      <alignment horizontal="center" vertical="center"/>
    </xf>
    <xf numFmtId="0" fontId="21" fillId="0" borderId="35" xfId="3" applyFont="1" applyFill="1" applyBorder="1" applyAlignment="1" applyProtection="1">
      <alignment horizontal="left" vertical="center" wrapText="1"/>
      <protection locked="0"/>
    </xf>
    <xf numFmtId="0" fontId="9" fillId="5" borderId="49" xfId="5" applyFont="1" applyFill="1" applyBorder="1" applyAlignment="1">
      <alignment horizontal="center" vertical="center"/>
    </xf>
    <xf numFmtId="0" fontId="1" fillId="0" borderId="49" xfId="5" applyBorder="1" applyAlignment="1">
      <alignment horizontal="center" vertical="center"/>
    </xf>
    <xf numFmtId="0" fontId="1" fillId="0" borderId="50" xfId="5" applyBorder="1" applyAlignment="1">
      <alignment horizontal="center" vertical="center"/>
    </xf>
    <xf numFmtId="0" fontId="20" fillId="0" borderId="36" xfId="5" applyFont="1" applyBorder="1" applyAlignment="1">
      <alignment horizontal="center"/>
    </xf>
    <xf numFmtId="0" fontId="21" fillId="0" borderId="36" xfId="5" applyFont="1" applyBorder="1" applyAlignment="1">
      <alignment horizontal="center"/>
    </xf>
    <xf numFmtId="0" fontId="21" fillId="0" borderId="54" xfId="5" applyFont="1" applyBorder="1" applyAlignment="1">
      <alignment horizontal="center"/>
    </xf>
    <xf numFmtId="0" fontId="3" fillId="3" borderId="0" xfId="5" applyFont="1" applyFill="1" applyBorder="1" applyAlignment="1" applyProtection="1">
      <alignment horizontal="center" wrapText="1"/>
      <protection locked="0"/>
    </xf>
    <xf numFmtId="0" fontId="3" fillId="0" borderId="0" xfId="5" applyFont="1" applyBorder="1" applyAlignment="1"/>
    <xf numFmtId="0" fontId="9" fillId="0" borderId="12" xfId="5" applyFont="1" applyBorder="1" applyAlignment="1">
      <alignment horizontal="center"/>
    </xf>
    <xf numFmtId="0" fontId="9" fillId="0" borderId="0" xfId="5" applyFont="1" applyBorder="1" applyAlignment="1">
      <alignment horizontal="center"/>
    </xf>
    <xf numFmtId="0" fontId="9" fillId="0" borderId="3" xfId="5" applyFont="1" applyBorder="1" applyAlignment="1">
      <alignment horizontal="center"/>
    </xf>
    <xf numFmtId="0" fontId="16" fillId="3" borderId="0" xfId="5" applyFont="1" applyFill="1" applyAlignment="1">
      <alignment horizontal="center" wrapText="1"/>
    </xf>
    <xf numFmtId="22" fontId="2" fillId="0" borderId="0" xfId="5" applyNumberFormat="1" applyFont="1"/>
    <xf numFmtId="0" fontId="17" fillId="6" borderId="31" xfId="5" applyFont="1" applyFill="1" applyBorder="1" applyAlignment="1">
      <alignment horizontal="center" vertical="center"/>
    </xf>
    <xf numFmtId="0" fontId="29" fillId="6" borderId="24" xfId="5" applyFont="1" applyFill="1" applyBorder="1" applyAlignment="1">
      <alignment vertical="center"/>
    </xf>
    <xf numFmtId="0" fontId="29" fillId="6" borderId="2" xfId="5" applyFont="1" applyFill="1" applyBorder="1" applyAlignment="1">
      <alignment vertical="center"/>
    </xf>
    <xf numFmtId="0" fontId="16" fillId="23" borderId="31" xfId="5" applyFont="1" applyFill="1" applyBorder="1" applyAlignment="1">
      <alignment horizontal="center" wrapText="1"/>
    </xf>
    <xf numFmtId="0" fontId="1" fillId="23" borderId="24" xfId="5" applyFill="1" applyBorder="1" applyAlignment="1">
      <alignment wrapText="1"/>
    </xf>
    <xf numFmtId="0" fontId="1" fillId="23" borderId="2" xfId="5" applyFill="1" applyBorder="1" applyAlignment="1">
      <alignment wrapText="1"/>
    </xf>
    <xf numFmtId="0" fontId="3" fillId="24" borderId="12" xfId="5" applyFont="1" applyFill="1" applyBorder="1" applyAlignment="1">
      <alignment horizontal="right" wrapText="1"/>
    </xf>
    <xf numFmtId="0" fontId="1" fillId="24" borderId="11" xfId="5" applyFill="1" applyBorder="1" applyAlignment="1">
      <alignment horizontal="right"/>
    </xf>
    <xf numFmtId="44" fontId="3" fillId="0" borderId="40" xfId="5" applyNumberFormat="1" applyFont="1" applyFill="1" applyBorder="1" applyAlignment="1">
      <alignment horizontal="center" vertical="center" wrapText="1"/>
    </xf>
    <xf numFmtId="0" fontId="1" fillId="0" borderId="41" xfId="5" applyBorder="1" applyAlignment="1">
      <alignment horizontal="center" vertical="center"/>
    </xf>
    <xf numFmtId="0" fontId="1" fillId="0" borderId="42" xfId="5" applyBorder="1" applyAlignment="1">
      <alignment horizontal="center" vertical="center"/>
    </xf>
    <xf numFmtId="0" fontId="2" fillId="0" borderId="20" xfId="5" applyFont="1" applyBorder="1" applyAlignment="1">
      <alignment horizontal="center" vertical="top" wrapText="1"/>
    </xf>
    <xf numFmtId="0" fontId="3" fillId="22" borderId="10" xfId="5" applyFont="1" applyFill="1" applyBorder="1" applyAlignment="1">
      <alignment horizontal="center" vertical="center"/>
    </xf>
    <xf numFmtId="0" fontId="2" fillId="0" borderId="1" xfId="5" quotePrefix="1" applyNumberFormat="1" applyFont="1" applyBorder="1" applyAlignment="1">
      <alignment horizontal="center" vertical="center"/>
    </xf>
    <xf numFmtId="165" fontId="3" fillId="0" borderId="1" xfId="1" applyNumberFormat="1" applyFont="1" applyBorder="1" applyAlignment="1">
      <alignment horizontal="center" vertical="center"/>
    </xf>
    <xf numFmtId="0" fontId="2" fillId="0" borderId="0" xfId="5" applyFont="1" applyProtection="1">
      <protection locked="0" hidden="1"/>
    </xf>
    <xf numFmtId="0" fontId="2" fillId="0" borderId="20" xfId="5" applyFont="1" applyBorder="1" applyAlignment="1">
      <alignment horizontal="left" vertical="top" wrapText="1"/>
    </xf>
    <xf numFmtId="0" fontId="2" fillId="22" borderId="10" xfId="5" applyFont="1" applyFill="1" applyBorder="1" applyAlignment="1">
      <alignment horizontal="center" vertical="center"/>
    </xf>
    <xf numFmtId="4" fontId="3" fillId="6" borderId="19" xfId="5" applyNumberFormat="1" applyFont="1" applyFill="1" applyBorder="1" applyAlignment="1">
      <alignment horizontal="center" vertical="center" wrapText="1"/>
    </xf>
    <xf numFmtId="4" fontId="2" fillId="0" borderId="1" xfId="5" applyNumberFormat="1" applyFont="1" applyBorder="1" applyAlignment="1">
      <alignment horizontal="center"/>
    </xf>
    <xf numFmtId="0" fontId="2" fillId="0" borderId="0" xfId="5" applyFont="1" applyBorder="1"/>
    <xf numFmtId="44" fontId="3" fillId="0" borderId="14" xfId="5" applyNumberFormat="1" applyFont="1" applyFill="1" applyBorder="1" applyAlignment="1">
      <alignment horizontal="center"/>
    </xf>
    <xf numFmtId="0" fontId="10" fillId="0" borderId="15" xfId="5" applyFont="1" applyBorder="1" applyAlignment="1">
      <alignment horizontal="center" vertical="center" wrapText="1"/>
    </xf>
    <xf numFmtId="0" fontId="10" fillId="0" borderId="16" xfId="5" applyFont="1" applyBorder="1" applyAlignment="1">
      <alignment horizontal="center" vertical="center" wrapText="1"/>
    </xf>
    <xf numFmtId="1" fontId="2" fillId="0" borderId="16" xfId="5" applyNumberFormat="1" applyFont="1" applyFill="1" applyBorder="1" applyAlignment="1">
      <alignment horizontal="center" vertical="center"/>
    </xf>
    <xf numFmtId="165" fontId="2" fillId="0" borderId="16" xfId="5" applyNumberFormat="1" applyFont="1" applyBorder="1" applyAlignment="1">
      <alignment horizontal="right" vertical="center"/>
    </xf>
    <xf numFmtId="44" fontId="3" fillId="4" borderId="17" xfId="5" applyNumberFormat="1" applyFont="1" applyFill="1" applyBorder="1" applyAlignment="1">
      <alignment horizontal="center" vertical="center"/>
    </xf>
    <xf numFmtId="0" fontId="3" fillId="24" borderId="19" xfId="5" applyFont="1" applyFill="1" applyBorder="1" applyAlignment="1">
      <alignment horizontal="right" vertical="top" wrapText="1"/>
    </xf>
    <xf numFmtId="0" fontId="2" fillId="0" borderId="1" xfId="5" applyFont="1" applyBorder="1" applyAlignment="1">
      <alignment horizontal="center"/>
    </xf>
    <xf numFmtId="1" fontId="3" fillId="0" borderId="1" xfId="5" applyNumberFormat="1" applyFont="1" applyFill="1" applyBorder="1" applyAlignment="1">
      <alignment horizontal="center" vertical="top" wrapText="1"/>
    </xf>
    <xf numFmtId="44" fontId="3" fillId="24" borderId="5" xfId="5" applyNumberFormat="1" applyFont="1" applyFill="1" applyBorder="1" applyAlignment="1">
      <alignment horizontal="center" vertical="center" wrapText="1"/>
    </xf>
    <xf numFmtId="0" fontId="1" fillId="0" borderId="50" xfId="5" applyBorder="1" applyAlignment="1">
      <alignment horizontal="center" vertical="center" wrapText="1"/>
    </xf>
    <xf numFmtId="0" fontId="2" fillId="0" borderId="12" xfId="5" applyFont="1" applyBorder="1" applyAlignment="1">
      <alignment horizontal="right"/>
    </xf>
    <xf numFmtId="1" fontId="2" fillId="22" borderId="1" xfId="5" applyNumberFormat="1" applyFont="1" applyFill="1" applyBorder="1" applyAlignment="1">
      <alignment horizontal="center"/>
    </xf>
    <xf numFmtId="0" fontId="3" fillId="24" borderId="8" xfId="5" applyFont="1" applyFill="1" applyBorder="1" applyAlignment="1">
      <alignment horizontal="center" vertical="center" wrapText="1"/>
    </xf>
    <xf numFmtId="44" fontId="2" fillId="0" borderId="14" xfId="5" applyNumberFormat="1" applyFont="1" applyBorder="1" applyAlignment="1">
      <alignment horizontal="center"/>
    </xf>
    <xf numFmtId="1" fontId="2" fillId="22" borderId="8" xfId="5" applyNumberFormat="1" applyFont="1" applyFill="1" applyBorder="1" applyAlignment="1">
      <alignment horizontal="center"/>
    </xf>
    <xf numFmtId="0" fontId="3" fillId="24" borderId="34" xfId="5" applyFont="1" applyFill="1" applyBorder="1" applyAlignment="1">
      <alignment horizontal="center" vertical="center" wrapText="1"/>
    </xf>
    <xf numFmtId="0" fontId="3" fillId="21" borderId="32" xfId="5" applyFont="1" applyFill="1" applyBorder="1" applyAlignment="1">
      <alignment horizontal="left" vertical="center" wrapText="1"/>
    </xf>
    <xf numFmtId="0" fontId="3" fillId="21" borderId="64" xfId="5" applyFont="1" applyFill="1" applyBorder="1" applyAlignment="1">
      <alignment horizontal="left" vertical="center" wrapText="1"/>
    </xf>
    <xf numFmtId="0" fontId="2" fillId="17" borderId="0" xfId="6" applyFont="1" applyFill="1" applyBorder="1"/>
    <xf numFmtId="165" fontId="2" fillId="0" borderId="1" xfId="5" applyNumberFormat="1" applyFont="1" applyBorder="1" applyAlignment="1">
      <alignment horizontal="right" vertical="center"/>
    </xf>
    <xf numFmtId="44" fontId="3" fillId="4" borderId="14" xfId="1" applyFont="1" applyFill="1" applyBorder="1"/>
    <xf numFmtId="44" fontId="2" fillId="0" borderId="0" xfId="5" applyNumberFormat="1" applyFont="1" applyBorder="1" applyAlignment="1">
      <alignment horizontal="center"/>
    </xf>
    <xf numFmtId="0" fontId="3" fillId="0" borderId="21" xfId="5" applyFont="1" applyBorder="1" applyAlignment="1">
      <alignment horizontal="right" vertical="center" wrapText="1"/>
    </xf>
    <xf numFmtId="0" fontId="1" fillId="0" borderId="22" xfId="5" applyBorder="1" applyAlignment="1">
      <alignment vertical="center"/>
    </xf>
    <xf numFmtId="0" fontId="42" fillId="22" borderId="22" xfId="6" applyFont="1" applyFill="1" applyBorder="1" applyAlignment="1">
      <alignment horizontal="center" vertical="center"/>
    </xf>
    <xf numFmtId="0" fontId="3" fillId="0" borderId="22" xfId="5" applyFont="1" applyBorder="1" applyAlignment="1">
      <alignment horizontal="center" vertical="center"/>
    </xf>
    <xf numFmtId="44" fontId="2" fillId="0" borderId="23" xfId="5" applyNumberFormat="1" applyFont="1" applyBorder="1" applyAlignment="1">
      <alignment vertical="center"/>
    </xf>
    <xf numFmtId="0" fontId="2" fillId="0" borderId="6" xfId="5" applyFont="1" applyBorder="1" applyAlignment="1">
      <alignment horizontal="right" vertical="top" wrapText="1"/>
    </xf>
    <xf numFmtId="0" fontId="2" fillId="0" borderId="7" xfId="5" applyFont="1" applyBorder="1"/>
    <xf numFmtId="0" fontId="2" fillId="0" borderId="7" xfId="5" applyFont="1" applyFill="1" applyBorder="1" applyAlignment="1">
      <alignment horizontal="center"/>
    </xf>
    <xf numFmtId="0" fontId="3" fillId="0" borderId="21" xfId="5" applyFont="1" applyBorder="1" applyAlignment="1">
      <alignment horizontal="center"/>
    </xf>
    <xf numFmtId="44" fontId="3" fillId="4" borderId="23" xfId="1" applyFont="1" applyFill="1" applyBorder="1"/>
    <xf numFmtId="0" fontId="2" fillId="0" borderId="0" xfId="5" applyFont="1" applyAlignment="1">
      <alignment wrapText="1"/>
    </xf>
    <xf numFmtId="0" fontId="2" fillId="0" borderId="0" xfId="5" applyFont="1" applyAlignment="1">
      <alignment horizontal="right" vertical="top" wrapText="1"/>
    </xf>
    <xf numFmtId="0" fontId="2" fillId="0" borderId="30" xfId="5" applyFont="1" applyBorder="1"/>
    <xf numFmtId="0" fontId="2" fillId="0" borderId="18" xfId="5" applyFont="1" applyBorder="1"/>
    <xf numFmtId="0" fontId="2" fillId="0" borderId="13" xfId="5" applyFont="1" applyBorder="1"/>
    <xf numFmtId="0" fontId="2" fillId="0" borderId="0" xfId="5" applyFont="1" applyBorder="1" applyAlignment="1">
      <alignment horizontal="center"/>
    </xf>
    <xf numFmtId="0" fontId="3" fillId="0" borderId="1" xfId="5" applyFont="1" applyBorder="1" applyAlignment="1">
      <alignment horizontal="right" vertical="center" wrapText="1"/>
    </xf>
    <xf numFmtId="0" fontId="1" fillId="0" borderId="1" xfId="5" applyBorder="1" applyAlignment="1">
      <alignment horizontal="right" vertical="center"/>
    </xf>
    <xf numFmtId="0" fontId="3" fillId="0" borderId="1" xfId="5" applyFont="1" applyBorder="1" applyAlignment="1">
      <alignment horizontal="right" vertical="center" wrapText="1"/>
    </xf>
    <xf numFmtId="0" fontId="2" fillId="0" borderId="1" xfId="5" applyFont="1" applyFill="1" applyBorder="1" applyAlignment="1">
      <alignment horizontal="center" vertical="center"/>
    </xf>
    <xf numFmtId="44" fontId="2" fillId="0" borderId="65" xfId="1" applyFont="1" applyBorder="1" applyAlignment="1">
      <alignment vertical="center"/>
    </xf>
    <xf numFmtId="0" fontId="2" fillId="0" borderId="17" xfId="5" applyFont="1" applyBorder="1"/>
    <xf numFmtId="0" fontId="2" fillId="0" borderId="0" xfId="5" applyFont="1" applyBorder="1" applyAlignment="1">
      <alignment horizontal="center" vertical="center"/>
    </xf>
    <xf numFmtId="0" fontId="2" fillId="0" borderId="0" xfId="5" applyFont="1" applyAlignment="1">
      <alignment vertical="center"/>
    </xf>
    <xf numFmtId="0" fontId="34" fillId="0" borderId="49" xfId="3" applyFont="1" applyBorder="1" applyAlignment="1" applyProtection="1">
      <alignment horizontal="center" vertical="center"/>
    </xf>
    <xf numFmtId="0" fontId="34" fillId="0" borderId="10" xfId="3" applyFont="1" applyBorder="1" applyAlignment="1" applyProtection="1">
      <alignment horizontal="center" vertical="center"/>
    </xf>
    <xf numFmtId="0" fontId="4" fillId="0" borderId="1" xfId="5" applyFont="1" applyFill="1" applyBorder="1" applyAlignment="1">
      <alignment horizontal="right" vertical="center" wrapText="1"/>
    </xf>
    <xf numFmtId="0" fontId="3" fillId="0" borderId="0" xfId="5" applyFont="1" applyAlignment="1">
      <alignment horizontal="center" vertical="center" wrapText="1"/>
    </xf>
    <xf numFmtId="0" fontId="2" fillId="0" borderId="5" xfId="5" applyFont="1" applyBorder="1" applyAlignment="1">
      <alignment horizontal="right" vertical="center" wrapText="1"/>
    </xf>
    <xf numFmtId="0" fontId="1" fillId="0" borderId="10" xfId="5" applyBorder="1" applyAlignment="1">
      <alignment horizontal="right" vertical="center"/>
    </xf>
    <xf numFmtId="0" fontId="42" fillId="22" borderId="1" xfId="5" applyFont="1" applyFill="1" applyBorder="1" applyAlignment="1">
      <alignment horizontal="right" vertical="center" wrapText="1"/>
    </xf>
    <xf numFmtId="165" fontId="2" fillId="0" borderId="1" xfId="5" applyNumberFormat="1" applyFont="1" applyBorder="1" applyAlignment="1">
      <alignment horizontal="center"/>
    </xf>
    <xf numFmtId="165" fontId="2" fillId="0" borderId="1" xfId="1" applyNumberFormat="1" applyFont="1" applyBorder="1" applyAlignment="1"/>
    <xf numFmtId="0" fontId="2" fillId="0" borderId="5" xfId="5" applyFont="1" applyBorder="1" applyAlignment="1">
      <alignment horizontal="right" vertical="center" wrapText="1"/>
    </xf>
    <xf numFmtId="0" fontId="1" fillId="0" borderId="37" xfId="5" applyBorder="1" applyAlignment="1">
      <alignment horizontal="right" vertical="center"/>
    </xf>
    <xf numFmtId="0" fontId="4" fillId="0" borderId="8" xfId="5" applyFont="1" applyFill="1" applyBorder="1" applyAlignment="1">
      <alignment horizontal="right" vertical="center" wrapText="1"/>
    </xf>
    <xf numFmtId="165" fontId="2" fillId="4" borderId="8" xfId="1" applyNumberFormat="1" applyFont="1" applyFill="1" applyBorder="1" applyAlignment="1">
      <alignment vertical="center"/>
    </xf>
    <xf numFmtId="0" fontId="3" fillId="0" borderId="5" xfId="5" applyFont="1" applyBorder="1" applyAlignment="1">
      <alignment horizontal="right" vertical="center" wrapText="1"/>
    </xf>
    <xf numFmtId="0" fontId="42" fillId="22" borderId="10" xfId="5" applyFont="1" applyFill="1" applyBorder="1" applyAlignment="1">
      <alignment horizontal="center"/>
    </xf>
    <xf numFmtId="0" fontId="2" fillId="0" borderId="37" xfId="5" applyFont="1" applyBorder="1" applyAlignment="1">
      <alignment horizontal="center"/>
    </xf>
    <xf numFmtId="44" fontId="2" fillId="0" borderId="8" xfId="1" applyFont="1" applyBorder="1" applyAlignment="1">
      <alignment horizontal="center"/>
    </xf>
    <xf numFmtId="0" fontId="2" fillId="0" borderId="0" xfId="5" applyFont="1" applyBorder="1" applyAlignment="1">
      <alignment vertical="center"/>
    </xf>
    <xf numFmtId="0" fontId="16" fillId="5" borderId="38" xfId="5" applyFont="1" applyFill="1" applyBorder="1" applyAlignment="1">
      <alignment horizontal="right" wrapText="1"/>
    </xf>
    <xf numFmtId="0" fontId="1" fillId="0" borderId="0" xfId="5" applyFont="1" applyAlignment="1">
      <alignment horizontal="right" wrapText="1"/>
    </xf>
    <xf numFmtId="0" fontId="15" fillId="0" borderId="5" xfId="5" applyFont="1" applyBorder="1" applyAlignment="1">
      <alignment horizontal="center" vertical="center" wrapText="1"/>
    </xf>
    <xf numFmtId="0" fontId="1" fillId="0" borderId="49" xfId="5" applyBorder="1" applyAlignment="1">
      <alignment horizontal="center" vertical="center" wrapText="1"/>
    </xf>
    <xf numFmtId="0" fontId="16" fillId="0" borderId="43" xfId="5" applyFont="1" applyBorder="1" applyAlignment="1">
      <alignment horizontal="center" vertical="center" wrapText="1"/>
    </xf>
    <xf numFmtId="0" fontId="1" fillId="0" borderId="11" xfId="5" applyFont="1" applyBorder="1" applyAlignment="1">
      <alignment horizontal="center" vertical="center"/>
    </xf>
    <xf numFmtId="44" fontId="3" fillId="4" borderId="9" xfId="1" applyFont="1" applyFill="1" applyBorder="1" applyAlignment="1">
      <alignment horizontal="center" vertical="center"/>
    </xf>
    <xf numFmtId="0" fontId="15" fillId="0" borderId="1" xfId="5" applyFont="1" applyBorder="1" applyAlignment="1">
      <alignment horizontal="right" vertical="center" wrapText="1"/>
    </xf>
    <xf numFmtId="0" fontId="16" fillId="0" borderId="66" xfId="5" applyFont="1" applyBorder="1" applyAlignment="1">
      <alignment horizontal="right" vertical="center" wrapText="1"/>
    </xf>
    <xf numFmtId="0" fontId="1" fillId="0" borderId="64" xfId="5" applyFont="1" applyBorder="1" applyAlignment="1">
      <alignment vertical="center" wrapText="1"/>
    </xf>
    <xf numFmtId="0" fontId="1" fillId="0" borderId="65" xfId="5" applyFont="1" applyBorder="1" applyAlignment="1">
      <alignment vertical="center" wrapText="1"/>
    </xf>
    <xf numFmtId="44" fontId="3" fillId="4" borderId="1" xfId="1" applyFont="1" applyFill="1" applyBorder="1" applyAlignment="1">
      <alignment horizontal="center" vertical="center"/>
    </xf>
    <xf numFmtId="0" fontId="2" fillId="0" borderId="0" xfId="5" applyFont="1" applyAlignment="1">
      <alignment horizontal="center" vertical="top" wrapText="1"/>
    </xf>
    <xf numFmtId="0" fontId="3" fillId="0" borderId="21" xfId="5" applyFont="1" applyBorder="1" applyAlignment="1">
      <alignment horizontal="center" wrapText="1"/>
    </xf>
    <xf numFmtId="0" fontId="3" fillId="0" borderId="23" xfId="5" applyFont="1" applyBorder="1" applyAlignment="1">
      <alignment horizontal="center"/>
    </xf>
    <xf numFmtId="0" fontId="3" fillId="0" borderId="22" xfId="5" applyFont="1" applyBorder="1" applyAlignment="1">
      <alignment horizontal="center" wrapText="1"/>
    </xf>
    <xf numFmtId="0" fontId="3" fillId="0" borderId="31" xfId="5" applyFont="1" applyBorder="1" applyAlignment="1">
      <alignment horizontal="center" vertical="top" wrapText="1"/>
    </xf>
    <xf numFmtId="0" fontId="1" fillId="0" borderId="24" xfId="5" applyBorder="1" applyAlignment="1">
      <alignment horizontal="center"/>
    </xf>
    <xf numFmtId="0" fontId="1" fillId="0" borderId="2" xfId="5" applyBorder="1" applyAlignment="1">
      <alignment horizontal="center"/>
    </xf>
    <xf numFmtId="22" fontId="2" fillId="0" borderId="24" xfId="5" applyNumberFormat="1" applyFont="1" applyBorder="1"/>
    <xf numFmtId="0" fontId="2" fillId="0" borderId="2" xfId="5" applyFont="1" applyBorder="1"/>
    <xf numFmtId="0" fontId="2" fillId="0" borderId="6" xfId="5" applyFont="1" applyBorder="1" applyAlignment="1">
      <alignment horizontal="right" vertical="top" wrapText="1"/>
    </xf>
    <xf numFmtId="0" fontId="1" fillId="0" borderId="7" xfId="5" applyBorder="1" applyAlignment="1">
      <alignment wrapText="1"/>
    </xf>
    <xf numFmtId="0" fontId="2" fillId="22" borderId="16" xfId="5" applyFont="1" applyFill="1" applyBorder="1"/>
    <xf numFmtId="0" fontId="2" fillId="0" borderId="4" xfId="5" applyFont="1" applyBorder="1"/>
    <xf numFmtId="0" fontId="1" fillId="0" borderId="0" xfId="5" applyFont="1" applyAlignment="1">
      <alignment horizontal="right" vertical="top" wrapText="1"/>
    </xf>
    <xf numFmtId="0" fontId="1" fillId="0" borderId="0" xfId="5" applyAlignment="1">
      <alignment horizontal="right" vertical="top" wrapText="1"/>
    </xf>
    <xf numFmtId="44" fontId="22" fillId="4" borderId="5" xfId="5" applyNumberFormat="1" applyFont="1" applyFill="1" applyBorder="1" applyAlignment="1">
      <alignment horizontal="left" vertical="top" wrapText="1"/>
    </xf>
    <xf numFmtId="0" fontId="16" fillId="4" borderId="10" xfId="5" applyFont="1" applyFill="1" applyBorder="1" applyAlignment="1">
      <alignment horizontal="left" vertical="top" wrapText="1"/>
    </xf>
    <xf numFmtId="0" fontId="11" fillId="0" borderId="0" xfId="5" applyFont="1" applyAlignment="1">
      <alignment horizontal="left" vertical="top" wrapText="1"/>
    </xf>
    <xf numFmtId="0" fontId="27" fillId="0" borderId="0" xfId="5" applyFont="1" applyAlignment="1">
      <alignment horizontal="center" vertical="top" wrapText="1"/>
    </xf>
    <xf numFmtId="0" fontId="25" fillId="0" borderId="0" xfId="5" applyFont="1" applyAlignment="1">
      <alignment horizontal="center" vertical="top" wrapText="1"/>
    </xf>
    <xf numFmtId="0" fontId="2" fillId="0" borderId="0" xfId="5" applyFont="1" applyAlignment="1">
      <alignment horizontal="center" vertical="top" wrapText="1"/>
    </xf>
    <xf numFmtId="0" fontId="3" fillId="0" borderId="0" xfId="5" applyFont="1" applyAlignment="1">
      <alignment horizontal="center" vertical="top" wrapText="1"/>
    </xf>
    <xf numFmtId="0" fontId="16" fillId="0" borderId="0" xfId="5" applyFont="1" applyAlignment="1">
      <alignment horizontal="center" wrapText="1"/>
    </xf>
    <xf numFmtId="0" fontId="16" fillId="0" borderId="0" xfId="5" applyFont="1" applyAlignment="1">
      <alignment wrapText="1"/>
    </xf>
  </cellXfs>
  <cellStyles count="7">
    <cellStyle name="Currency" xfId="1" builtinId="4"/>
    <cellStyle name="Currency 2" xfId="2"/>
    <cellStyle name="Hyperlink" xfId="3" builtinId="8"/>
    <cellStyle name="Normal" xfId="0" builtinId="0"/>
    <cellStyle name="Normal 2" xfId="4"/>
    <cellStyle name="Normal 2 2" xfId="6"/>
    <cellStyle name="Normal 3" xfId="5"/>
  </cellStyles>
  <dxfs count="0"/>
  <tableStyles count="0" defaultTableStyle="TableStyleMedium2" defaultPivotStyle="PivotStyleLight16"/>
  <colors>
    <mruColors>
      <color rgb="FFCCFFFF"/>
      <color rgb="FFCCEC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D$68" lockText="1"/>
</file>

<file path=xl/ctrlProps/ctrlProp10.xml><?xml version="1.0" encoding="utf-8"?>
<formControlPr xmlns="http://schemas.microsoft.com/office/spreadsheetml/2009/9/main" objectType="Radio" checked="Checked" firstButton="1" fmlaLink="$B$20"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D50" lockText="1"/>
</file>

<file path=xl/ctrlProps/ctrlProp13.xml><?xml version="1.0" encoding="utf-8"?>
<formControlPr xmlns="http://schemas.microsoft.com/office/spreadsheetml/2009/9/main" objectType="Radio" firstButton="1" fmlaLink="H3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H42"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H123" lockText="1" noThreeD="1"/>
</file>

<file path=xl/ctrlProps/ctrlProp18.xml><?xml version="1.0" encoding="utf-8"?>
<formControlPr xmlns="http://schemas.microsoft.com/office/spreadsheetml/2009/9/main" objectType="CheckBox" fmlaLink="H125" lockText="1" noThreeD="1"/>
</file>

<file path=xl/ctrlProps/ctrlProp19.xml><?xml version="1.0" encoding="utf-8"?>
<formControlPr xmlns="http://schemas.microsoft.com/office/spreadsheetml/2009/9/main" objectType="CheckBox" fmlaLink="H127" lockText="1" noThreeD="1"/>
</file>

<file path=xl/ctrlProps/ctrlProp2.xml><?xml version="1.0" encoding="utf-8"?>
<formControlPr xmlns="http://schemas.microsoft.com/office/spreadsheetml/2009/9/main" objectType="CheckBox" fmlaLink="$D$61" lockText="1"/>
</file>

<file path=xl/ctrlProps/ctrlProp20.xml><?xml version="1.0" encoding="utf-8"?>
<formControlPr xmlns="http://schemas.microsoft.com/office/spreadsheetml/2009/9/main" objectType="CheckBox" fmlaLink="H130" lockText="1" noThreeD="1"/>
</file>

<file path=xl/ctrlProps/ctrlProp21.xml><?xml version="1.0" encoding="utf-8"?>
<formControlPr xmlns="http://schemas.microsoft.com/office/spreadsheetml/2009/9/main" objectType="CheckBox" fmlaLink="H132" lockText="1" noThreeD="1"/>
</file>

<file path=xl/ctrlProps/ctrlProp22.xml><?xml version="1.0" encoding="utf-8"?>
<formControlPr xmlns="http://schemas.microsoft.com/office/spreadsheetml/2009/9/main" objectType="CheckBox" fmlaLink="H134"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lides and Prints Scanning'!C51" lockText="1"/>
</file>

<file path=xl/ctrlProps/ctrlProp4.xml><?xml version="1.0" encoding="utf-8"?>
<formControlPr xmlns="http://schemas.microsoft.com/office/spreadsheetml/2009/9/main" objectType="CheckBox" fmlaLink="$D$66" lockText="1"/>
</file>

<file path=xl/ctrlProps/ctrlProp5.xml><?xml version="1.0" encoding="utf-8"?>
<formControlPr xmlns="http://schemas.microsoft.com/office/spreadsheetml/2009/9/main" objectType="CheckBox" fmlaLink="$E$39" lockText="1"/>
</file>

<file path=xl/ctrlProps/ctrlProp6.xml><?xml version="1.0" encoding="utf-8"?>
<formControlPr xmlns="http://schemas.microsoft.com/office/spreadsheetml/2009/9/main" objectType="CheckBox" fmlaLink="$E$37" lockText="1"/>
</file>

<file path=xl/ctrlProps/ctrlProp7.xml><?xml version="1.0" encoding="utf-8"?>
<formControlPr xmlns="http://schemas.microsoft.com/office/spreadsheetml/2009/9/main" objectType="CheckBox" fmlaLink="$E$32"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image" Target="../media/image3.jpeg"/><Relationship Id="rId7"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13.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 Id="rId9" Type="http://schemas.openxmlformats.org/officeDocument/2006/relationships/image" Target="../media/image1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67</xdr:row>
          <xdr:rowOff>19050</xdr:rowOff>
        </xdr:from>
        <xdr:to>
          <xdr:col>3</xdr:col>
          <xdr:colOff>333375</xdr:colOff>
          <xdr:row>68</xdr:row>
          <xdr:rowOff>28575</xdr:rowOff>
        </xdr:to>
        <xdr:sp macro="" textlink="">
          <xdr:nvSpPr>
            <xdr:cNvPr id="1025" name="Check Box 1" descr="Check to pay WI ta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60</xdr:row>
          <xdr:rowOff>57150</xdr:rowOff>
        </xdr:from>
        <xdr:to>
          <xdr:col>3</xdr:col>
          <xdr:colOff>400050</xdr:colOff>
          <xdr:row>61</xdr:row>
          <xdr:rowOff>9525</xdr:rowOff>
        </xdr:to>
        <xdr:sp macro="" textlink="">
          <xdr:nvSpPr>
            <xdr:cNvPr id="1027" name="Check Box 3" descr="Check to pay WI tax."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38100</xdr:rowOff>
        </xdr:from>
        <xdr:to>
          <xdr:col>2</xdr:col>
          <xdr:colOff>352425</xdr:colOff>
          <xdr:row>50</xdr:row>
          <xdr:rowOff>257175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0</xdr:rowOff>
        </xdr:from>
        <xdr:to>
          <xdr:col>3</xdr:col>
          <xdr:colOff>323850</xdr:colOff>
          <xdr:row>65</xdr:row>
          <xdr:rowOff>219075</xdr:rowOff>
        </xdr:to>
        <xdr:sp macro="" textlink="">
          <xdr:nvSpPr>
            <xdr:cNvPr id="1275" name="Check Box 251" descr="Check to have signnature delivery."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104775</xdr:colOff>
      <xdr:row>18</xdr:row>
      <xdr:rowOff>19050</xdr:rowOff>
    </xdr:from>
    <xdr:to>
      <xdr:col>3</xdr:col>
      <xdr:colOff>571500</xdr:colOff>
      <xdr:row>18</xdr:row>
      <xdr:rowOff>485775</xdr:rowOff>
    </xdr:to>
    <xdr:pic>
      <xdr:nvPicPr>
        <xdr:cNvPr id="12377" name="Picture 271" descr="35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5867400"/>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20</xdr:row>
      <xdr:rowOff>28575</xdr:rowOff>
    </xdr:from>
    <xdr:to>
      <xdr:col>3</xdr:col>
      <xdr:colOff>542925</xdr:colOff>
      <xdr:row>20</xdr:row>
      <xdr:rowOff>476250</xdr:rowOff>
    </xdr:to>
    <xdr:pic>
      <xdr:nvPicPr>
        <xdr:cNvPr id="12378" name="Picture 272" descr="110-smal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25792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21</xdr:row>
      <xdr:rowOff>0</xdr:rowOff>
    </xdr:from>
    <xdr:to>
      <xdr:col>3</xdr:col>
      <xdr:colOff>552450</xdr:colOff>
      <xdr:row>21</xdr:row>
      <xdr:rowOff>447675</xdr:rowOff>
    </xdr:to>
    <xdr:pic>
      <xdr:nvPicPr>
        <xdr:cNvPr id="12379" name="Picture 273" descr="1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1975" y="584835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23</xdr:row>
      <xdr:rowOff>9525</xdr:rowOff>
    </xdr:from>
    <xdr:to>
      <xdr:col>3</xdr:col>
      <xdr:colOff>542925</xdr:colOff>
      <xdr:row>23</xdr:row>
      <xdr:rowOff>457200</xdr:rowOff>
    </xdr:to>
    <xdr:pic>
      <xdr:nvPicPr>
        <xdr:cNvPr id="12380" name="Picture 274" descr="12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62450" y="682942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22</xdr:row>
      <xdr:rowOff>19050</xdr:rowOff>
    </xdr:from>
    <xdr:to>
      <xdr:col>3</xdr:col>
      <xdr:colOff>552450</xdr:colOff>
      <xdr:row>22</xdr:row>
      <xdr:rowOff>466725</xdr:rowOff>
    </xdr:to>
    <xdr:pic>
      <xdr:nvPicPr>
        <xdr:cNvPr id="12381" name="Picture 275" descr="1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71975" y="63531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24</xdr:row>
      <xdr:rowOff>19050</xdr:rowOff>
    </xdr:from>
    <xdr:to>
      <xdr:col>3</xdr:col>
      <xdr:colOff>561975</xdr:colOff>
      <xdr:row>24</xdr:row>
      <xdr:rowOff>476250</xdr:rowOff>
    </xdr:to>
    <xdr:pic>
      <xdr:nvPicPr>
        <xdr:cNvPr id="12382" name="Picture 276" descr="82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71975" y="7324725"/>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25</xdr:row>
      <xdr:rowOff>19050</xdr:rowOff>
    </xdr:from>
    <xdr:to>
      <xdr:col>3</xdr:col>
      <xdr:colOff>609600</xdr:colOff>
      <xdr:row>25</xdr:row>
      <xdr:rowOff>476250</xdr:rowOff>
    </xdr:to>
    <xdr:pic>
      <xdr:nvPicPr>
        <xdr:cNvPr id="12383" name="Picture 277" descr="half-frame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2925" y="7810500"/>
          <a:ext cx="52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26</xdr:row>
      <xdr:rowOff>0</xdr:rowOff>
    </xdr:from>
    <xdr:to>
      <xdr:col>3</xdr:col>
      <xdr:colOff>590550</xdr:colOff>
      <xdr:row>26</xdr:row>
      <xdr:rowOff>457200</xdr:rowOff>
    </xdr:to>
    <xdr:pic>
      <xdr:nvPicPr>
        <xdr:cNvPr id="12384" name="Picture 279" descr="loose-films"/>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333875" y="8277225"/>
          <a:ext cx="52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52</xdr:row>
      <xdr:rowOff>9525</xdr:rowOff>
    </xdr:from>
    <xdr:to>
      <xdr:col>5</xdr:col>
      <xdr:colOff>752475</xdr:colOff>
      <xdr:row>52</xdr:row>
      <xdr:rowOff>219075</xdr:rowOff>
    </xdr:to>
    <xdr:pic>
      <xdr:nvPicPr>
        <xdr:cNvPr id="12385" name="Picture 327" descr="spacer-half-inch"/>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43600" y="14316075"/>
          <a:ext cx="7524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51</xdr:row>
      <xdr:rowOff>9525</xdr:rowOff>
    </xdr:from>
    <xdr:to>
      <xdr:col>4</xdr:col>
      <xdr:colOff>28575</xdr:colOff>
      <xdr:row>52</xdr:row>
      <xdr:rowOff>28575</xdr:rowOff>
    </xdr:to>
    <xdr:pic>
      <xdr:nvPicPr>
        <xdr:cNvPr id="12386"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163675"/>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54</xdr:row>
      <xdr:rowOff>9525</xdr:rowOff>
    </xdr:from>
    <xdr:to>
      <xdr:col>4</xdr:col>
      <xdr:colOff>28575</xdr:colOff>
      <xdr:row>54</xdr:row>
      <xdr:rowOff>180975</xdr:rowOff>
    </xdr:to>
    <xdr:pic>
      <xdr:nvPicPr>
        <xdr:cNvPr id="12387"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763750"/>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54</xdr:row>
      <xdr:rowOff>9525</xdr:rowOff>
    </xdr:from>
    <xdr:to>
      <xdr:col>4</xdr:col>
      <xdr:colOff>28575</xdr:colOff>
      <xdr:row>54</xdr:row>
      <xdr:rowOff>180975</xdr:rowOff>
    </xdr:to>
    <xdr:pic>
      <xdr:nvPicPr>
        <xdr:cNvPr id="12388"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763750"/>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48</xdr:row>
      <xdr:rowOff>9525</xdr:rowOff>
    </xdr:from>
    <xdr:to>
      <xdr:col>5</xdr:col>
      <xdr:colOff>762000</xdr:colOff>
      <xdr:row>49</xdr:row>
      <xdr:rowOff>6609</xdr:rowOff>
    </xdr:to>
    <xdr:pic>
      <xdr:nvPicPr>
        <xdr:cNvPr id="18" name="Picture 329" descr="spacer-half-inch"/>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943600" y="13401675"/>
          <a:ext cx="762000" cy="139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52</xdr:row>
      <xdr:rowOff>25393</xdr:rowOff>
    </xdr:from>
    <xdr:to>
      <xdr:col>2</xdr:col>
      <xdr:colOff>1009650</xdr:colOff>
      <xdr:row>52</xdr:row>
      <xdr:rowOff>430036</xdr:rowOff>
    </xdr:to>
    <xdr:pic>
      <xdr:nvPicPr>
        <xdr:cNvPr id="3" name="Picture 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48025" y="14589118"/>
          <a:ext cx="971550" cy="404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38</xdr:row>
          <xdr:rowOff>19050</xdr:rowOff>
        </xdr:from>
        <xdr:to>
          <xdr:col>4</xdr:col>
          <xdr:colOff>333375</xdr:colOff>
          <xdr:row>38</xdr:row>
          <xdr:rowOff>238125</xdr:rowOff>
        </xdr:to>
        <xdr:sp macro="" textlink="">
          <xdr:nvSpPr>
            <xdr:cNvPr id="14337" name="Check Box 1" descr="Check to pay WI tax."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228600</xdr:rowOff>
        </xdr:from>
        <xdr:to>
          <xdr:col>4</xdr:col>
          <xdr:colOff>314325</xdr:colOff>
          <xdr:row>36</xdr:row>
          <xdr:rowOff>447675</xdr:rowOff>
        </xdr:to>
        <xdr:sp macro="" textlink="">
          <xdr:nvSpPr>
            <xdr:cNvPr id="14338" name="Check Box 2" descr="Check to have signnature delivery."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0</xdr:colOff>
      <xdr:row>35</xdr:row>
      <xdr:rowOff>0</xdr:rowOff>
    </xdr:from>
    <xdr:to>
      <xdr:col>19</xdr:col>
      <xdr:colOff>133350</xdr:colOff>
      <xdr:row>35</xdr:row>
      <xdr:rowOff>38100</xdr:rowOff>
    </xdr:to>
    <xdr:pic>
      <xdr:nvPicPr>
        <xdr:cNvPr id="4" name="Picture 277" descr="spacer-1-in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10591800"/>
          <a:ext cx="11049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18</xdr:row>
      <xdr:rowOff>142875</xdr:rowOff>
    </xdr:from>
    <xdr:to>
      <xdr:col>2</xdr:col>
      <xdr:colOff>657225</xdr:colOff>
      <xdr:row>18</xdr:row>
      <xdr:rowOff>752475</xdr:rowOff>
    </xdr:to>
    <xdr:pic>
      <xdr:nvPicPr>
        <xdr:cNvPr id="5" name="Picture 278" descr="35mm"/>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3911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2886075</xdr:colOff>
      <xdr:row>18</xdr:row>
      <xdr:rowOff>161925</xdr:rowOff>
    </xdr:from>
    <xdr:to>
      <xdr:col>2</xdr:col>
      <xdr:colOff>3457575</xdr:colOff>
      <xdr:row>18</xdr:row>
      <xdr:rowOff>733425</xdr:rowOff>
    </xdr:to>
    <xdr:pic>
      <xdr:nvPicPr>
        <xdr:cNvPr id="6" name="Picture 280" descr="1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2325" y="54102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819150</xdr:colOff>
      <xdr:row>18</xdr:row>
      <xdr:rowOff>142875</xdr:rowOff>
    </xdr:from>
    <xdr:to>
      <xdr:col>2</xdr:col>
      <xdr:colOff>1428750</xdr:colOff>
      <xdr:row>18</xdr:row>
      <xdr:rowOff>752475</xdr:rowOff>
    </xdr:to>
    <xdr:pic>
      <xdr:nvPicPr>
        <xdr:cNvPr id="7" name="Picture 281" descr="12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53911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1524000</xdr:colOff>
      <xdr:row>18</xdr:row>
      <xdr:rowOff>152400</xdr:rowOff>
    </xdr:from>
    <xdr:to>
      <xdr:col>2</xdr:col>
      <xdr:colOff>2124075</xdr:colOff>
      <xdr:row>18</xdr:row>
      <xdr:rowOff>752475</xdr:rowOff>
    </xdr:to>
    <xdr:pic>
      <xdr:nvPicPr>
        <xdr:cNvPr id="8" name="Picture 282" descr="82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0" y="54006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2209800</xdr:colOff>
      <xdr:row>18</xdr:row>
      <xdr:rowOff>161925</xdr:rowOff>
    </xdr:from>
    <xdr:to>
      <xdr:col>2</xdr:col>
      <xdr:colOff>2781300</xdr:colOff>
      <xdr:row>18</xdr:row>
      <xdr:rowOff>733425</xdr:rowOff>
    </xdr:to>
    <xdr:pic>
      <xdr:nvPicPr>
        <xdr:cNvPr id="9" name="Picture 283" descr="half-frame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86050" y="54102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1571625</xdr:colOff>
      <xdr:row>19</xdr:row>
      <xdr:rowOff>152400</xdr:rowOff>
    </xdr:from>
    <xdr:to>
      <xdr:col>2</xdr:col>
      <xdr:colOff>2143125</xdr:colOff>
      <xdr:row>19</xdr:row>
      <xdr:rowOff>723900</xdr:rowOff>
    </xdr:to>
    <xdr:pic>
      <xdr:nvPicPr>
        <xdr:cNvPr id="10" name="Picture 284" descr="110-small"/>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47875" y="618172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2343150</xdr:colOff>
      <xdr:row>19</xdr:row>
      <xdr:rowOff>161925</xdr:rowOff>
    </xdr:from>
    <xdr:to>
      <xdr:col>2</xdr:col>
      <xdr:colOff>2905125</xdr:colOff>
      <xdr:row>19</xdr:row>
      <xdr:rowOff>723900</xdr:rowOff>
    </xdr:to>
    <xdr:pic>
      <xdr:nvPicPr>
        <xdr:cNvPr id="11" name="Picture 285" descr="12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19400" y="6191250"/>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238125</xdr:colOff>
      <xdr:row>19</xdr:row>
      <xdr:rowOff>209550</xdr:rowOff>
    </xdr:from>
    <xdr:to>
      <xdr:col>2</xdr:col>
      <xdr:colOff>1428750</xdr:colOff>
      <xdr:row>19</xdr:row>
      <xdr:rowOff>685800</xdr:rowOff>
    </xdr:to>
    <xdr:pic>
      <xdr:nvPicPr>
        <xdr:cNvPr id="12" name="Picture 288" descr="3d-slides"/>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4375" y="62388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104775</xdr:colOff>
          <xdr:row>31</xdr:row>
          <xdr:rowOff>171450</xdr:rowOff>
        </xdr:from>
        <xdr:to>
          <xdr:col>4</xdr:col>
          <xdr:colOff>428625</xdr:colOff>
          <xdr:row>31</xdr:row>
          <xdr:rowOff>390525</xdr:rowOff>
        </xdr:to>
        <xdr:sp macro="" textlink="">
          <xdr:nvSpPr>
            <xdr:cNvPr id="14339" name="Check Box 3" descr="Check to pay WI tax."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5210175</xdr:colOff>
          <xdr:row>5</xdr:row>
          <xdr:rowOff>104775</xdr:rowOff>
        </xdr:from>
        <xdr:to>
          <xdr:col>0</xdr:col>
          <xdr:colOff>5514975</xdr:colOff>
          <xdr:row>6</xdr:row>
          <xdr:rowOff>95250</xdr:rowOff>
        </xdr:to>
        <xdr:sp macro="" textlink="">
          <xdr:nvSpPr>
            <xdr:cNvPr id="2049" name="Check Box 1" descr="Check to pay WI tax."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3429000</xdr:colOff>
      <xdr:row>31</xdr:row>
      <xdr:rowOff>0</xdr:rowOff>
    </xdr:to>
    <xdr:pic>
      <xdr:nvPicPr>
        <xdr:cNvPr id="4178" name="Picture 1" descr="form-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34275"/>
          <a:ext cx="342900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1962150</xdr:colOff>
          <xdr:row>14</xdr:row>
          <xdr:rowOff>666750</xdr:rowOff>
        </xdr:from>
        <xdr:to>
          <xdr:col>1</xdr:col>
          <xdr:colOff>3648075</xdr:colOff>
          <xdr:row>18</xdr:row>
          <xdr:rowOff>228600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14</xdr:row>
          <xdr:rowOff>1123950</xdr:rowOff>
        </xdr:from>
        <xdr:to>
          <xdr:col>1</xdr:col>
          <xdr:colOff>3038475</xdr:colOff>
          <xdr:row>16</xdr:row>
          <xdr:rowOff>114300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2171700</xdr:colOff>
          <xdr:row>16</xdr:row>
          <xdr:rowOff>266700</xdr:rowOff>
        </xdr:from>
        <xdr:to>
          <xdr:col>1</xdr:col>
          <xdr:colOff>3143250</xdr:colOff>
          <xdr:row>17</xdr:row>
          <xdr:rowOff>152400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9</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19</xdr:row>
          <xdr:rowOff>19050</xdr:rowOff>
        </xdr:from>
        <xdr:to>
          <xdr:col>3</xdr:col>
          <xdr:colOff>400050</xdr:colOff>
          <xdr:row>19</xdr:row>
          <xdr:rowOff>400050</xdr:rowOff>
        </xdr:to>
        <xdr:sp macro="" textlink="">
          <xdr:nvSpPr>
            <xdr:cNvPr id="5132" name="Check Box 12" descr="Check to pay WI ta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3</xdr:col>
          <xdr:colOff>200025</xdr:colOff>
          <xdr:row>8</xdr:row>
          <xdr:rowOff>219075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JPG Images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28575</xdr:rowOff>
        </xdr:from>
        <xdr:to>
          <xdr:col>3</xdr:col>
          <xdr:colOff>238125</xdr:colOff>
          <xdr:row>10</xdr:row>
          <xdr:rowOff>247650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Slide Show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3</xdr:col>
          <xdr:colOff>57150</xdr:colOff>
          <xdr:row>12</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200025</xdr:colOff>
          <xdr:row>9</xdr:row>
          <xdr:rowOff>257175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xdr:row>
          <xdr:rowOff>47625</xdr:rowOff>
        </xdr:from>
        <xdr:to>
          <xdr:col>5</xdr:col>
          <xdr:colOff>895350</xdr:colOff>
          <xdr:row>2</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read and tried to follow all the slide prep instructions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xdr:row>
          <xdr:rowOff>95250</xdr:rowOff>
        </xdr:from>
        <xdr:to>
          <xdr:col>6</xdr:col>
          <xdr:colOff>28575</xdr:colOff>
          <xdr:row>4</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creation on a disk.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95250</xdr:rowOff>
        </xdr:from>
        <xdr:to>
          <xdr:col>6</xdr:col>
          <xdr:colOff>57150</xdr:colOff>
          <xdr:row>6</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uploaded to my server. I will email my FTP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xdr:row>
          <xdr:rowOff>104775</xdr:rowOff>
        </xdr:from>
        <xdr:to>
          <xdr:col>6</xdr:col>
          <xdr:colOff>66675</xdr:colOff>
          <xdr:row>8</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Kodak Compatible Carousels , I have prepared the slides correctly.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9</xdr:row>
          <xdr:rowOff>104775</xdr:rowOff>
        </xdr:from>
        <xdr:to>
          <xdr:col>6</xdr:col>
          <xdr:colOff>19050</xdr:colOff>
          <xdr:row>10</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Bell and Howell Slide Cubes, I have prepared the slides correctly.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11</xdr:row>
          <xdr:rowOff>114300</xdr:rowOff>
        </xdr:from>
        <xdr:to>
          <xdr:col>6</xdr:col>
          <xdr:colOff>57150</xdr:colOff>
          <xdr:row>12</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realize my slides may not be in "like new" condition. Do what you can for them.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19</xdr:row>
          <xdr:rowOff>209550</xdr:rowOff>
        </xdr:from>
        <xdr:to>
          <xdr:col>3</xdr:col>
          <xdr:colOff>514350</xdr:colOff>
          <xdr:row>20</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der-form-slides-to-pr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rol sheet"/>
      <sheetName val="Dropdown lists"/>
      <sheetName val="Conditional Formatting"/>
      <sheetName val="Group box with buttons"/>
      <sheetName val="Changes to make"/>
      <sheetName val="Check boxes"/>
      <sheetName val="_SSC"/>
      <sheetName val="_Options"/>
    </sheetNames>
    <sheetDataSet>
      <sheetData sheetId="0"/>
      <sheetData sheetId="1"/>
      <sheetData sheetId="2"/>
      <sheetData sheetId="3"/>
      <sheetData sheetId="4"/>
      <sheetData sheetId="5"/>
      <sheetData sheetId="6"/>
      <sheetData sheetId="7"/>
      <sheetData sheetId="8">
        <row r="1">
          <cell r="X1" t="str">
            <v>YES. Crop image to fit print size.</v>
          </cell>
        </row>
        <row r="2">
          <cell r="X2" t="str">
            <v>NO. Leave white on two sides.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ld-photo.com/pages/intermix-slides-mediums.htm" TargetMode="External"/><Relationship Id="rId13" Type="http://schemas.openxmlformats.org/officeDocument/2006/relationships/hyperlink" Target="http://www.old-photo.com/pages/110-120-127-828-etc.htm" TargetMode="External"/><Relationship Id="rId18" Type="http://schemas.openxmlformats.org/officeDocument/2006/relationships/hyperlink" Target="http://www.old-photo.com/pages/photo-album.htm" TargetMode="External"/><Relationship Id="rId26" Type="http://schemas.openxmlformats.org/officeDocument/2006/relationships/comments" Target="../comments1.xml"/><Relationship Id="rId3" Type="http://schemas.openxmlformats.org/officeDocument/2006/relationships/hyperlink" Target="http://www.old-photo.com/pages/thumbnail-catalog.htm" TargetMode="External"/><Relationship Id="rId21" Type="http://schemas.openxmlformats.org/officeDocument/2006/relationships/vmlDrawing" Target="../drawings/vmlDrawing1.vml"/><Relationship Id="rId7" Type="http://schemas.openxmlformats.org/officeDocument/2006/relationships/hyperlink" Target="http://www.old-photo.com/pages/non-usa-orders.htm" TargetMode="External"/><Relationship Id="rId12" Type="http://schemas.openxmlformats.org/officeDocument/2006/relationships/hyperlink" Target="http://www.old-photo.com/pages/110-120-127-828-etc.htm" TargetMode="External"/><Relationship Id="rId17" Type="http://schemas.openxmlformats.org/officeDocument/2006/relationships/hyperlink" Target="http://www.old-photo.com/pages/movies-for-slide-preparation.htm" TargetMode="External"/><Relationship Id="rId25" Type="http://schemas.openxmlformats.org/officeDocument/2006/relationships/ctrlProp" Target="../ctrlProps/ctrlProp4.xml"/><Relationship Id="rId2" Type="http://schemas.openxmlformats.org/officeDocument/2006/relationships/hyperlink" Target="http://www.old-photo.com/pages/text-frames.htm" TargetMode="External"/><Relationship Id="rId16" Type="http://schemas.openxmlformats.org/officeDocument/2006/relationships/hyperlink" Target="http://www.old-photo.com/pages/110-120-127-828-etc.htm" TargetMode="External"/><Relationship Id="rId20" Type="http://schemas.openxmlformats.org/officeDocument/2006/relationships/drawing" Target="../drawings/drawing1.xml"/><Relationship Id="rId1" Type="http://schemas.openxmlformats.org/officeDocument/2006/relationships/hyperlink" Target="movies-for-slide-preparation.htm" TargetMode="External"/><Relationship Id="rId6" Type="http://schemas.openxmlformats.org/officeDocument/2006/relationships/hyperlink" Target="http://www.old-photo.com/pages/free-demo-scans.html" TargetMode="External"/><Relationship Id="rId11" Type="http://schemas.openxmlformats.org/officeDocument/2006/relationships/hyperlink" Target="http://www.old-photo.com/pages/110-120-127-828-etc.htm" TargetMode="External"/><Relationship Id="rId24" Type="http://schemas.openxmlformats.org/officeDocument/2006/relationships/ctrlProp" Target="../ctrlProps/ctrlProp3.xml"/><Relationship Id="rId5" Type="http://schemas.openxmlformats.org/officeDocument/2006/relationships/hyperlink" Target="http://www.old-photo.com/pages/free-demo-scans.html" TargetMode="External"/><Relationship Id="rId15" Type="http://schemas.openxmlformats.org/officeDocument/2006/relationships/hyperlink" Target="http://www.old-photo.com/pages/110-120-127-828-etc.htm" TargetMode="External"/><Relationship Id="rId23" Type="http://schemas.openxmlformats.org/officeDocument/2006/relationships/ctrlProp" Target="../ctrlProps/ctrlProp2.xml"/><Relationship Id="rId10" Type="http://schemas.openxmlformats.org/officeDocument/2006/relationships/hyperlink" Target="http://www.old-photo.com/pages/prep-slide-stacking-bottom-up.htm" TargetMode="External"/><Relationship Id="rId19" Type="http://schemas.openxmlformats.org/officeDocument/2006/relationships/printerSettings" Target="../printerSettings/printerSettings1.bin"/><Relationship Id="rId4" Type="http://schemas.openxmlformats.org/officeDocument/2006/relationships/hyperlink" Target="http://www.old-photo.com/pages/terms-conditions.htm" TargetMode="External"/><Relationship Id="rId9" Type="http://schemas.openxmlformats.org/officeDocument/2006/relationships/hyperlink" Target="http://www.old-photo.com/pages/movies-for-slide-preparation.htm" TargetMode="External"/><Relationship Id="rId14" Type="http://schemas.openxmlformats.org/officeDocument/2006/relationships/hyperlink" Target="http://www.old-photo.com/pages/110-120-127-828-etc.htm" TargetMode="External"/><Relationship Id="rId22"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5.vml"/><Relationship Id="rId7" Type="http://schemas.openxmlformats.org/officeDocument/2006/relationships/ctrlProp" Target="../ctrlProps/ctrlProp15.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ctrlProp" Target="../ctrlProps/ctrlProp17.xml"/><Relationship Id="rId7" Type="http://schemas.openxmlformats.org/officeDocument/2006/relationships/ctrlProp" Target="../ctrlProps/ctrlProp21.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old-photo.com/pages/free-demo-scans.html" TargetMode="External"/><Relationship Id="rId7" Type="http://schemas.openxmlformats.org/officeDocument/2006/relationships/drawing" Target="../drawings/drawing2.xml"/><Relationship Id="rId12" Type="http://schemas.openxmlformats.org/officeDocument/2006/relationships/comments" Target="../comments2.xml"/><Relationship Id="rId2" Type="http://schemas.openxmlformats.org/officeDocument/2006/relationships/hyperlink" Target="http://www.old-photo.com/pages/free-demo-scans.html" TargetMode="External"/><Relationship Id="rId1" Type="http://schemas.openxmlformats.org/officeDocument/2006/relationships/hyperlink" Target="http://www.old-photo.com/pages/terms-conditions.htm" TargetMode="External"/><Relationship Id="rId6" Type="http://schemas.openxmlformats.org/officeDocument/2006/relationships/printerSettings" Target="../printerSettings/printerSettings2.bin"/><Relationship Id="rId11" Type="http://schemas.openxmlformats.org/officeDocument/2006/relationships/ctrlProp" Target="../ctrlProps/ctrlProp7.xml"/><Relationship Id="rId5" Type="http://schemas.openxmlformats.org/officeDocument/2006/relationships/hyperlink" Target="http://www.old-photo.com/pages/movies-for-slide-preparation.htm" TargetMode="External"/><Relationship Id="rId10" Type="http://schemas.openxmlformats.org/officeDocument/2006/relationships/ctrlProp" Target="../ctrlProps/ctrlProp6.xml"/><Relationship Id="rId4" Type="http://schemas.openxmlformats.org/officeDocument/2006/relationships/hyperlink" Target="http://www.old-photo.com/pages/non-usa-orders.htm" TargetMode="Externa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94"/>
  <sheetViews>
    <sheetView tabSelected="1" workbookViewId="0">
      <selection activeCell="E40" sqref="E37:E40"/>
    </sheetView>
  </sheetViews>
  <sheetFormatPr defaultRowHeight="11.25" x14ac:dyDescent="0.2"/>
  <cols>
    <col min="1" max="1" width="2.26953125" style="14" bestFit="1" customWidth="1"/>
    <col min="2" max="2" width="28.36328125" style="3" customWidth="1"/>
    <col min="3" max="3" width="10.08984375" style="2" customWidth="1"/>
    <col min="4" max="4" width="8.6328125" style="2" customWidth="1"/>
    <col min="5" max="5" width="7.36328125" style="2" customWidth="1"/>
    <col min="6" max="6" width="7.54296875" style="2" customWidth="1"/>
    <col min="7" max="11" width="8.7265625" style="2" hidden="1" customWidth="1"/>
    <col min="12" max="12" width="12.54296875" style="2" hidden="1" customWidth="1"/>
    <col min="13" max="14" width="8.7265625" style="2" hidden="1" customWidth="1"/>
    <col min="15" max="17" width="8.7265625" style="2" customWidth="1"/>
    <col min="18" max="16384" width="8.7265625" style="2"/>
  </cols>
  <sheetData>
    <row r="1" spans="1:21" ht="24" thickBot="1" x14ac:dyDescent="0.3">
      <c r="A1" s="119">
        <v>1</v>
      </c>
      <c r="B1" s="253" t="s">
        <v>105</v>
      </c>
      <c r="C1" s="354" t="str">
        <f>IF(F70=0,"Fill in online to calculate SHIPPING",IF(D61=TRUE,"For RUSH, send FULL payment","Please ONLY send the DEPOSIT!"))</f>
        <v>Fill in online to calculate SHIPPING</v>
      </c>
      <c r="D1" s="355"/>
      <c r="E1" s="356"/>
      <c r="F1" s="357"/>
    </row>
    <row r="2" spans="1:21" ht="39.75" customHeight="1" thickBot="1" x14ac:dyDescent="0.3">
      <c r="A2" s="14">
        <v>2</v>
      </c>
      <c r="B2" s="254" t="s">
        <v>211</v>
      </c>
      <c r="C2" s="289" t="str">
        <f>IF(D61=TRUE,"RUSH","DEPOSIT")</f>
        <v>DEPOSIT</v>
      </c>
      <c r="D2" s="290">
        <f>F70</f>
        <v>0</v>
      </c>
      <c r="E2" s="358" t="str">
        <f>IF(D61=TRUE,"","Will invoice for balance.")</f>
        <v>Will invoice for balance.</v>
      </c>
      <c r="F2" s="359"/>
      <c r="U2" s="120"/>
    </row>
    <row r="3" spans="1:21" ht="25.5" x14ac:dyDescent="0.2">
      <c r="A3" s="14">
        <v>3</v>
      </c>
      <c r="B3" s="127" t="s">
        <v>18</v>
      </c>
      <c r="C3" s="382" t="str">
        <f>IF(B73="", "",B73)</f>
        <v/>
      </c>
      <c r="D3" s="383"/>
      <c r="E3" s="383"/>
      <c r="F3" s="305" t="str">
        <f>IF(D61=TRUE,"RUSH","")</f>
        <v/>
      </c>
    </row>
    <row r="4" spans="1:21" ht="38.25" x14ac:dyDescent="0.2">
      <c r="A4" s="119">
        <v>4</v>
      </c>
      <c r="B4" s="195" t="s">
        <v>177</v>
      </c>
      <c r="C4" s="196" t="str">
        <f>IF(F66&gt;0,"SIG","")</f>
        <v/>
      </c>
      <c r="D4" s="396" t="str">
        <f>IF(F34=0,"",IF(B54="JPG only Disk","Choose Disks or Flash drive Line 54",IF(B54="Flash Drv. customer sends w Order","Customer sends Flash Drv. ",IF(B54="Flash Drv. Affordable sells you","Flash Drv.",""))))</f>
        <v/>
      </c>
      <c r="E4" s="397"/>
      <c r="F4" s="398"/>
    </row>
    <row r="5" spans="1:21" ht="16.5" customHeight="1" x14ac:dyDescent="0.2">
      <c r="A5" s="14">
        <v>5</v>
      </c>
      <c r="B5" s="195" t="s">
        <v>178</v>
      </c>
      <c r="C5" s="285" t="str">
        <f>IF(F34=0,"",IF(B54="JPG only Disk","JPG Disk",IF(B54="Flash Drv. customer sends w Order","Flash Drv",IF(B54="Flash Drv. Affordable sells you","Flash Drv.,"))))</f>
        <v/>
      </c>
      <c r="D5" s="393" t="str">
        <f>IF(F34=0,"",IF(B54="Flash Drv. customer sends w Order","Change this option on line 54",IF(B54="Flash Drv. Affordable sells you","purchased from us","")))</f>
        <v/>
      </c>
      <c r="E5" s="394"/>
      <c r="F5" s="395"/>
    </row>
    <row r="6" spans="1:21" ht="23.25" customHeight="1" thickBot="1" x14ac:dyDescent="0.25">
      <c r="A6" s="14">
        <v>6</v>
      </c>
      <c r="B6" s="294" t="s">
        <v>114</v>
      </c>
      <c r="C6" s="286" t="str">
        <f>IF(B54="Slide Show with Classical Music", "SS w Music",IF(B54="Slide Show No Music","SS No Music",""))</f>
        <v/>
      </c>
      <c r="D6" s="287" t="str">
        <f>IF(F46&gt;0,"Text Frame","")</f>
        <v/>
      </c>
      <c r="E6" s="287" t="str">
        <f>IF(F42&gt;0,"PRTS","")</f>
        <v/>
      </c>
      <c r="F6" s="288" t="str">
        <f>IF(F51&gt;0,"Prep","")</f>
        <v/>
      </c>
    </row>
    <row r="7" spans="1:21" ht="29.25" customHeight="1" thickBot="1" x14ac:dyDescent="0.25">
      <c r="A7" s="119">
        <v>7</v>
      </c>
      <c r="B7" s="314" t="s">
        <v>115</v>
      </c>
      <c r="C7" s="315" t="str">
        <f>IF(F45&gt;0,"Thmbnails","")</f>
        <v/>
      </c>
      <c r="D7" s="309" t="str">
        <f>IF(E57="","","Dupe")</f>
        <v/>
      </c>
      <c r="E7" s="310" t="str">
        <f>IF(F68&gt;0,"WI","")</f>
        <v/>
      </c>
      <c r="F7" s="311" t="str">
        <f>IF(D78&gt;0,"Ins.","")</f>
        <v/>
      </c>
      <c r="H7" s="19"/>
    </row>
    <row r="8" spans="1:21" ht="29.25" customHeight="1" thickBot="1" x14ac:dyDescent="0.25">
      <c r="A8" s="14">
        <v>8</v>
      </c>
      <c r="B8" s="312"/>
      <c r="C8" s="406" t="str">
        <f>IF(F42=0,"",IF(B42="YES. Crop image to fit print size.","YES. Crop my images to fit print size.","Don't Crop. White on two sides of prints."))</f>
        <v/>
      </c>
      <c r="D8" s="407"/>
      <c r="E8" s="407"/>
      <c r="F8" s="408"/>
      <c r="H8" s="19"/>
    </row>
    <row r="9" spans="1:21" ht="15.75" customHeight="1" x14ac:dyDescent="0.25">
      <c r="A9" s="14">
        <v>9</v>
      </c>
      <c r="B9" s="299"/>
      <c r="C9" s="313" t="s">
        <v>181</v>
      </c>
      <c r="D9" s="360" t="s">
        <v>48</v>
      </c>
      <c r="E9" s="360"/>
      <c r="F9" s="361"/>
    </row>
    <row r="10" spans="1:21" ht="12" x14ac:dyDescent="0.2">
      <c r="A10" s="14">
        <v>10</v>
      </c>
      <c r="B10" s="301"/>
      <c r="C10" s="302" t="s">
        <v>182</v>
      </c>
      <c r="D10" s="362" t="s">
        <v>10</v>
      </c>
      <c r="E10" s="363"/>
      <c r="F10" s="364"/>
    </row>
    <row r="11" spans="1:21" ht="18.75" thickBot="1" x14ac:dyDescent="0.3">
      <c r="A11" s="119">
        <v>11</v>
      </c>
      <c r="B11" s="303"/>
      <c r="C11" s="304" t="s">
        <v>183</v>
      </c>
      <c r="D11" s="418" t="s">
        <v>12</v>
      </c>
      <c r="E11" s="419"/>
      <c r="F11" s="420"/>
    </row>
    <row r="12" spans="1:21" ht="28.5" customHeight="1" x14ac:dyDescent="0.2">
      <c r="A12" s="14">
        <v>12</v>
      </c>
      <c r="B12" s="299"/>
      <c r="C12" s="300" t="s">
        <v>180</v>
      </c>
      <c r="D12" s="384" t="s">
        <v>13</v>
      </c>
      <c r="E12" s="385"/>
      <c r="F12" s="386"/>
    </row>
    <row r="13" spans="1:21" ht="19.5" customHeight="1" thickBot="1" x14ac:dyDescent="0.25">
      <c r="A13" s="14">
        <v>13</v>
      </c>
      <c r="B13" s="303"/>
      <c r="C13" s="304" t="s">
        <v>193</v>
      </c>
      <c r="D13" s="423" t="s">
        <v>184</v>
      </c>
      <c r="E13" s="345"/>
      <c r="F13" s="424"/>
    </row>
    <row r="14" spans="1:21" ht="25.5" customHeight="1" x14ac:dyDescent="0.25">
      <c r="A14" s="14">
        <v>14</v>
      </c>
      <c r="B14" s="297" t="s">
        <v>92</v>
      </c>
      <c r="C14" s="296" t="s">
        <v>91</v>
      </c>
      <c r="D14" s="409" t="s">
        <v>48</v>
      </c>
      <c r="E14" s="410"/>
      <c r="F14" s="411"/>
    </row>
    <row r="15" spans="1:21" ht="22.5" customHeight="1" x14ac:dyDescent="0.25">
      <c r="A15" s="119">
        <v>15</v>
      </c>
      <c r="B15" s="295" t="s">
        <v>93</v>
      </c>
      <c r="C15" s="298" t="s">
        <v>145</v>
      </c>
      <c r="D15" s="412" t="s">
        <v>111</v>
      </c>
      <c r="E15" s="413"/>
      <c r="F15" s="414"/>
    </row>
    <row r="16" spans="1:21" ht="14.25" customHeight="1" thickBot="1" x14ac:dyDescent="0.25">
      <c r="A16" s="14">
        <v>16</v>
      </c>
      <c r="B16" s="421" t="s">
        <v>123</v>
      </c>
      <c r="C16" s="7"/>
      <c r="D16" s="387" t="s">
        <v>40</v>
      </c>
      <c r="E16" s="388"/>
      <c r="F16" s="389"/>
    </row>
    <row r="17" spans="1:7" ht="23.25" customHeight="1" thickBot="1" x14ac:dyDescent="0.25">
      <c r="A17" s="14">
        <v>17</v>
      </c>
      <c r="B17" s="422"/>
      <c r="C17" s="255">
        <f ca="1">NOW()</f>
        <v>42276.535192939817</v>
      </c>
      <c r="D17" s="390" t="s">
        <v>116</v>
      </c>
      <c r="E17" s="391"/>
      <c r="F17" s="392"/>
    </row>
    <row r="18" spans="1:7" ht="39.75" thickBot="1" x14ac:dyDescent="0.3">
      <c r="A18" s="14">
        <v>18</v>
      </c>
      <c r="B18" s="256" t="s">
        <v>122</v>
      </c>
      <c r="C18" s="217" t="s">
        <v>185</v>
      </c>
      <c r="D18" s="249"/>
      <c r="E18" s="250"/>
      <c r="F18" s="248" t="s">
        <v>196</v>
      </c>
    </row>
    <row r="19" spans="1:7" ht="40.5" customHeight="1" thickBot="1" x14ac:dyDescent="0.25">
      <c r="A19" s="119">
        <v>19</v>
      </c>
      <c r="B19" s="122" t="s">
        <v>124</v>
      </c>
      <c r="C19" s="218">
        <v>0</v>
      </c>
      <c r="D19" s="246"/>
      <c r="E19" s="65">
        <v>0.39</v>
      </c>
      <c r="F19" s="247">
        <f t="shared" ref="F19:F27" si="0">IF(C19=0,0,C19*E19)</f>
        <v>0</v>
      </c>
      <c r="G19" s="15"/>
    </row>
    <row r="20" spans="1:7" ht="59.25" customHeight="1" thickBot="1" x14ac:dyDescent="0.25">
      <c r="A20" s="14">
        <v>20</v>
      </c>
      <c r="B20" s="207" t="s">
        <v>186</v>
      </c>
      <c r="C20" s="218">
        <v>0</v>
      </c>
      <c r="D20" s="228"/>
      <c r="E20" s="65">
        <v>1</v>
      </c>
      <c r="F20" s="229">
        <f t="shared" ref="F20" si="1">IF(C20=0,0,C20*E20)</f>
        <v>0</v>
      </c>
      <c r="G20" s="15"/>
    </row>
    <row r="21" spans="1:7" ht="41.25" customHeight="1" x14ac:dyDescent="0.2">
      <c r="A21" s="14">
        <v>21</v>
      </c>
      <c r="B21" s="257" t="s">
        <v>14</v>
      </c>
      <c r="C21" s="218">
        <v>0</v>
      </c>
      <c r="D21" s="228"/>
      <c r="E21" s="65">
        <v>1</v>
      </c>
      <c r="F21" s="229">
        <f t="shared" si="0"/>
        <v>0</v>
      </c>
      <c r="G21" s="15"/>
    </row>
    <row r="22" spans="1:7" ht="38.25" customHeight="1" x14ac:dyDescent="0.2">
      <c r="A22" s="14">
        <v>22</v>
      </c>
      <c r="B22" s="257" t="s">
        <v>15</v>
      </c>
      <c r="C22" s="218">
        <v>0</v>
      </c>
      <c r="D22" s="228"/>
      <c r="E22" s="65">
        <v>0.39</v>
      </c>
      <c r="F22" s="229">
        <f t="shared" si="0"/>
        <v>0</v>
      </c>
      <c r="G22" s="15"/>
    </row>
    <row r="23" spans="1:7" ht="38.25" customHeight="1" thickBot="1" x14ac:dyDescent="0.25">
      <c r="A23" s="119">
        <v>23</v>
      </c>
      <c r="B23" s="194" t="s">
        <v>118</v>
      </c>
      <c r="C23" s="218">
        <v>0</v>
      </c>
      <c r="D23" s="228"/>
      <c r="E23" s="65">
        <v>0.39</v>
      </c>
      <c r="F23" s="229">
        <f t="shared" si="0"/>
        <v>0</v>
      </c>
      <c r="G23" s="15"/>
    </row>
    <row r="24" spans="1:7" ht="41.25" customHeight="1" thickBot="1" x14ac:dyDescent="0.25">
      <c r="A24" s="14">
        <v>24</v>
      </c>
      <c r="B24" s="121" t="s">
        <v>223</v>
      </c>
      <c r="C24" s="218">
        <v>0</v>
      </c>
      <c r="D24" s="228"/>
      <c r="E24" s="65">
        <v>1</v>
      </c>
      <c r="F24" s="229">
        <f t="shared" si="0"/>
        <v>0</v>
      </c>
      <c r="G24" s="15"/>
    </row>
    <row r="25" spans="1:7" ht="38.25" customHeight="1" thickBot="1" x14ac:dyDescent="0.25">
      <c r="A25" s="14">
        <v>25</v>
      </c>
      <c r="B25" s="121" t="s">
        <v>16</v>
      </c>
      <c r="C25" s="218">
        <v>0</v>
      </c>
      <c r="D25" s="228"/>
      <c r="E25" s="65">
        <v>0.39</v>
      </c>
      <c r="F25" s="229">
        <f t="shared" si="0"/>
        <v>0</v>
      </c>
      <c r="G25" s="15"/>
    </row>
    <row r="26" spans="1:7" ht="38.25" customHeight="1" thickBot="1" x14ac:dyDescent="0.25">
      <c r="A26" s="14">
        <v>26</v>
      </c>
      <c r="B26" s="121" t="s">
        <v>119</v>
      </c>
      <c r="C26" s="218">
        <v>0</v>
      </c>
      <c r="D26" s="228"/>
      <c r="E26" s="65">
        <v>0.39</v>
      </c>
      <c r="F26" s="229">
        <f t="shared" si="0"/>
        <v>0</v>
      </c>
      <c r="G26" s="15"/>
    </row>
    <row r="27" spans="1:7" ht="42.75" customHeight="1" thickBot="1" x14ac:dyDescent="0.25">
      <c r="A27" s="119">
        <v>27</v>
      </c>
      <c r="B27" s="320" t="s">
        <v>121</v>
      </c>
      <c r="C27" s="321">
        <v>0</v>
      </c>
      <c r="D27" s="322"/>
      <c r="E27" s="65">
        <v>3</v>
      </c>
      <c r="F27" s="229">
        <f t="shared" si="0"/>
        <v>0</v>
      </c>
      <c r="G27" s="15"/>
    </row>
    <row r="28" spans="1:7" ht="17.25" customHeight="1" thickBot="1" x14ac:dyDescent="0.25">
      <c r="A28" s="14">
        <v>28</v>
      </c>
      <c r="B28" s="399" t="s">
        <v>220</v>
      </c>
      <c r="C28" s="400"/>
      <c r="D28" s="401"/>
      <c r="E28" s="319"/>
      <c r="F28" s="229"/>
      <c r="G28" s="15"/>
    </row>
    <row r="29" spans="1:7" ht="12" thickBot="1" x14ac:dyDescent="0.25">
      <c r="A29" s="14">
        <v>29</v>
      </c>
      <c r="B29" s="323" t="s">
        <v>61</v>
      </c>
      <c r="C29" s="324">
        <v>0</v>
      </c>
      <c r="D29" s="246"/>
      <c r="E29" s="65">
        <v>0.39</v>
      </c>
      <c r="F29" s="230">
        <f>IF(E29="","",E29*C29)</f>
        <v>0</v>
      </c>
      <c r="G29" s="15"/>
    </row>
    <row r="30" spans="1:7" ht="12.75" customHeight="1" thickBot="1" x14ac:dyDescent="0.25">
      <c r="A30" s="14">
        <v>30</v>
      </c>
      <c r="B30" s="81" t="s">
        <v>49</v>
      </c>
      <c r="C30" s="219">
        <v>0</v>
      </c>
      <c r="D30" s="231"/>
      <c r="E30" s="65">
        <v>0.59</v>
      </c>
      <c r="F30" s="230">
        <f>IF(E30="","",E30*C30)</f>
        <v>0</v>
      </c>
    </row>
    <row r="31" spans="1:7" ht="24.75" customHeight="1" thickBot="1" x14ac:dyDescent="0.25">
      <c r="A31" s="119">
        <v>31</v>
      </c>
      <c r="B31" s="123" t="s">
        <v>17</v>
      </c>
      <c r="C31" s="219">
        <v>0</v>
      </c>
      <c r="D31" s="231"/>
      <c r="E31" s="65">
        <v>0.69</v>
      </c>
      <c r="F31" s="230">
        <f>IF(E31="","",E31*C31)</f>
        <v>0</v>
      </c>
    </row>
    <row r="32" spans="1:7" ht="19.5" customHeight="1" thickBot="1" x14ac:dyDescent="0.25">
      <c r="A32" s="14">
        <v>32</v>
      </c>
      <c r="B32" s="330" t="s">
        <v>222</v>
      </c>
      <c r="C32" s="219">
        <v>0</v>
      </c>
      <c r="D32" s="231"/>
      <c r="E32" s="65">
        <v>3.76</v>
      </c>
      <c r="F32" s="230">
        <f>IF(E32="","",E32*C32)</f>
        <v>0</v>
      </c>
    </row>
    <row r="33" spans="1:8" ht="25.5" customHeight="1" x14ac:dyDescent="0.2">
      <c r="A33" s="14">
        <v>33</v>
      </c>
      <c r="B33" s="318" t="s">
        <v>173</v>
      </c>
      <c r="C33" s="220"/>
      <c r="D33" s="232"/>
      <c r="E33" s="23"/>
      <c r="F33" s="233">
        <f>SUM(F19:F32)</f>
        <v>0</v>
      </c>
    </row>
    <row r="34" spans="1:8" ht="12" thickBot="1" x14ac:dyDescent="0.25">
      <c r="A34" s="14">
        <v>34</v>
      </c>
      <c r="B34" s="325" t="s">
        <v>34</v>
      </c>
      <c r="C34" s="326" t="s">
        <v>38</v>
      </c>
      <c r="D34" s="327">
        <f>SUM(C19:C31)</f>
        <v>0</v>
      </c>
      <c r="E34" s="64" t="s">
        <v>29</v>
      </c>
      <c r="F34" s="235">
        <f>IF(SUM(F33:F33)=0,0,IF(SUM(F33:F33)&lt;20,20,SUM(F33:F33)))</f>
        <v>0</v>
      </c>
    </row>
    <row r="35" spans="1:8" ht="18.75" thickBot="1" x14ac:dyDescent="0.3">
      <c r="A35" s="119">
        <v>35</v>
      </c>
      <c r="B35" s="415" t="s">
        <v>221</v>
      </c>
      <c r="C35" s="416"/>
      <c r="D35" s="417"/>
      <c r="E35" s="319" t="s">
        <v>28</v>
      </c>
      <c r="F35" s="236"/>
    </row>
    <row r="36" spans="1:8" ht="33.75" x14ac:dyDescent="0.2">
      <c r="A36" s="14">
        <v>36</v>
      </c>
      <c r="B36" s="328" t="s">
        <v>6</v>
      </c>
      <c r="C36" s="212" t="s">
        <v>47</v>
      </c>
      <c r="D36" s="329" t="s">
        <v>41</v>
      </c>
      <c r="E36" s="65"/>
      <c r="F36" s="237"/>
    </row>
    <row r="37" spans="1:8" x14ac:dyDescent="0.2">
      <c r="A37" s="14">
        <v>37</v>
      </c>
      <c r="B37" s="258" t="s">
        <v>31</v>
      </c>
      <c r="C37" s="221">
        <v>0</v>
      </c>
      <c r="D37" s="238"/>
      <c r="E37" s="65">
        <v>0.54</v>
      </c>
      <c r="F37" s="237">
        <f>E37*C37</f>
        <v>0</v>
      </c>
    </row>
    <row r="38" spans="1:8" x14ac:dyDescent="0.2">
      <c r="A38" s="14">
        <v>38</v>
      </c>
      <c r="B38" s="258" t="s">
        <v>32</v>
      </c>
      <c r="C38" s="221">
        <v>0</v>
      </c>
      <c r="D38" s="238"/>
      <c r="E38" s="65">
        <v>1.99</v>
      </c>
      <c r="F38" s="237">
        <f>E38*C38</f>
        <v>0</v>
      </c>
    </row>
    <row r="39" spans="1:8" x14ac:dyDescent="0.2">
      <c r="A39" s="119">
        <v>39</v>
      </c>
      <c r="B39" s="258" t="s">
        <v>187</v>
      </c>
      <c r="C39" s="221">
        <v>0</v>
      </c>
      <c r="D39" s="238"/>
      <c r="E39" s="65">
        <v>4.49</v>
      </c>
      <c r="F39" s="237">
        <f>E39*C39</f>
        <v>0</v>
      </c>
    </row>
    <row r="40" spans="1:8" x14ac:dyDescent="0.2">
      <c r="A40" s="14">
        <v>40</v>
      </c>
      <c r="B40" s="258" t="s">
        <v>209</v>
      </c>
      <c r="C40" s="221">
        <v>0</v>
      </c>
      <c r="D40" s="238"/>
      <c r="E40" s="65">
        <v>7.49</v>
      </c>
      <c r="F40" s="237">
        <f>E40*C40</f>
        <v>0</v>
      </c>
    </row>
    <row r="41" spans="1:8" ht="18" x14ac:dyDescent="0.25">
      <c r="A41" s="14">
        <v>41</v>
      </c>
      <c r="B41" s="316" t="s">
        <v>216</v>
      </c>
      <c r="C41" s="306"/>
      <c r="D41" s="238"/>
      <c r="E41" s="65"/>
      <c r="F41" s="237"/>
    </row>
    <row r="42" spans="1:8" ht="18" customHeight="1" x14ac:dyDescent="0.25">
      <c r="A42" s="14">
        <v>42</v>
      </c>
      <c r="B42" s="308" t="s">
        <v>212</v>
      </c>
      <c r="C42" s="306"/>
      <c r="D42" s="238"/>
      <c r="E42" s="64" t="s">
        <v>29</v>
      </c>
      <c r="F42" s="239">
        <f>IF(SUM(F37:F40)=0,0,IF(SUM(F37:F40)&lt;=10,10,SUM(F37:F40)))</f>
        <v>0</v>
      </c>
      <c r="H42" s="4"/>
    </row>
    <row r="43" spans="1:8" ht="21.75" customHeight="1" x14ac:dyDescent="0.2">
      <c r="A43" s="119">
        <v>43</v>
      </c>
      <c r="B43" s="260"/>
      <c r="C43" s="222" t="s">
        <v>35</v>
      </c>
      <c r="D43" s="240" t="s">
        <v>88</v>
      </c>
      <c r="E43" s="65"/>
      <c r="F43" s="237"/>
    </row>
    <row r="44" spans="1:8" x14ac:dyDescent="0.2">
      <c r="A44" s="14">
        <v>44</v>
      </c>
      <c r="B44" s="261" t="s">
        <v>4</v>
      </c>
      <c r="C44" s="219">
        <v>0</v>
      </c>
      <c r="D44" s="241">
        <f>IF(C44=0,0,ROUNDUP((((D34)/30)),0))</f>
        <v>0</v>
      </c>
      <c r="E44" s="65">
        <v>1</v>
      </c>
      <c r="F44" s="237">
        <f>IF(D44=0,0,(D44*C44)*E44)</f>
        <v>0</v>
      </c>
    </row>
    <row r="45" spans="1:8" ht="15.75" customHeight="1" x14ac:dyDescent="0.2">
      <c r="A45" s="14">
        <v>45</v>
      </c>
      <c r="B45" s="262" t="s">
        <v>90</v>
      </c>
      <c r="C45" s="55"/>
      <c r="D45" s="241"/>
      <c r="E45" s="65"/>
      <c r="F45" s="242">
        <f>SUM(F44:F44)</f>
        <v>0</v>
      </c>
    </row>
    <row r="46" spans="1:8" x14ac:dyDescent="0.2">
      <c r="A46" s="14">
        <v>46</v>
      </c>
      <c r="B46" s="263" t="s">
        <v>189</v>
      </c>
      <c r="C46" s="223" t="s">
        <v>188</v>
      </c>
      <c r="D46" s="243">
        <v>0</v>
      </c>
      <c r="E46" s="65">
        <v>1</v>
      </c>
      <c r="F46" s="237">
        <f>E46*D46</f>
        <v>0</v>
      </c>
    </row>
    <row r="47" spans="1:8" x14ac:dyDescent="0.2">
      <c r="A47" s="119">
        <v>47</v>
      </c>
      <c r="B47" s="264" t="s">
        <v>89</v>
      </c>
      <c r="C47" s="224"/>
      <c r="D47" s="234"/>
      <c r="E47" s="65"/>
      <c r="F47" s="237"/>
    </row>
    <row r="48" spans="1:8" ht="33.75" x14ac:dyDescent="0.2">
      <c r="A48" s="14">
        <v>48</v>
      </c>
      <c r="B48" s="265" t="s">
        <v>7</v>
      </c>
      <c r="C48" s="225" t="s">
        <v>8</v>
      </c>
      <c r="D48" s="243">
        <v>0</v>
      </c>
      <c r="E48" s="65">
        <v>1</v>
      </c>
      <c r="F48" s="237">
        <f>E48*D48</f>
        <v>0</v>
      </c>
    </row>
    <row r="49" spans="1:18" x14ac:dyDescent="0.2">
      <c r="A49" s="14">
        <v>49</v>
      </c>
      <c r="B49" s="266" t="s">
        <v>9</v>
      </c>
      <c r="C49" s="225"/>
      <c r="D49" s="240"/>
      <c r="E49" s="65"/>
      <c r="F49" s="237"/>
    </row>
    <row r="50" spans="1:18" ht="31.5" customHeight="1" thickBot="1" x14ac:dyDescent="0.25">
      <c r="A50" s="14">
        <v>50</v>
      </c>
      <c r="B50" s="267" t="s">
        <v>190</v>
      </c>
      <c r="C50" s="23"/>
      <c r="D50" s="243">
        <v>0</v>
      </c>
      <c r="E50" s="65">
        <v>1</v>
      </c>
      <c r="F50" s="237">
        <f>E50*D50</f>
        <v>0</v>
      </c>
    </row>
    <row r="51" spans="1:18" ht="21" customHeight="1" thickBot="1" x14ac:dyDescent="0.25">
      <c r="A51" s="119">
        <v>51</v>
      </c>
      <c r="B51" s="216" t="s">
        <v>194</v>
      </c>
      <c r="C51" s="226" t="b">
        <v>0</v>
      </c>
      <c r="D51" s="244" t="str">
        <f>IF(C51=TRUE,D34,"")</f>
        <v/>
      </c>
      <c r="E51" s="99">
        <v>0.05</v>
      </c>
      <c r="F51" s="52">
        <f>IF(C51=TRUE,D51*E51,0)</f>
        <v>0</v>
      </c>
      <c r="G51" s="20"/>
    </row>
    <row r="52" spans="1:18" ht="12" thickBot="1" x14ac:dyDescent="0.25">
      <c r="A52" s="14">
        <v>52</v>
      </c>
      <c r="B52" s="268"/>
      <c r="C52" s="5"/>
      <c r="D52" s="23"/>
      <c r="E52" s="227" t="s">
        <v>29</v>
      </c>
      <c r="F52" s="269">
        <f>SUM(F46:F51)+F34+F45+F42</f>
        <v>0</v>
      </c>
      <c r="G52" s="20"/>
    </row>
    <row r="53" spans="1:18" ht="35.25" customHeight="1" thickBot="1" x14ac:dyDescent="0.25">
      <c r="A53" s="14">
        <v>53</v>
      </c>
      <c r="B53" s="126" t="s">
        <v>217</v>
      </c>
      <c r="C53" s="197"/>
      <c r="D53" s="190" t="str">
        <f>IF(B54="Flash Drv. customer sends w Order","GB Needed",IF(B54="Flash Drv. Affordable sells you","GB Needed","Disks"))</f>
        <v>Disks</v>
      </c>
      <c r="E53" s="190" t="s">
        <v>125</v>
      </c>
      <c r="F53" s="198"/>
      <c r="G53" s="20"/>
      <c r="H53" s="21"/>
      <c r="I53" s="21"/>
    </row>
    <row r="54" spans="1:18" ht="18.75" customHeight="1" thickBot="1" x14ac:dyDescent="0.3">
      <c r="A54" s="14">
        <v>54</v>
      </c>
      <c r="B54" s="291" t="s">
        <v>134</v>
      </c>
      <c r="C54" s="188" t="str">
        <f>IF(B54="","",VLOOKUP(B54,DiskLookup,2,FALSE))</f>
        <v>No charge</v>
      </c>
      <c r="D54" s="205">
        <f>IF(B54="Flash Drv. customer sends w Order",Calculations!I22,IF(B54="Flash Drv. Affordable sells you",Calculations!I22,IF(B54="Slide Show with Classical Music",Calculations!C38,IF(B54="Slide Show NO Music",SUM(ROUNDUP(Calculations!C39,0)),IF(B54="JPG only Disk",Calculations!B34,"")))))</f>
        <v>0</v>
      </c>
      <c r="E54" s="191" t="str">
        <f>IF(C54=0,0,IF(C54="No Charge","",IF(D54=4,12,IF(D54=8,16,IF(D54=16,20,D54*0.8)))))</f>
        <v/>
      </c>
      <c r="F54" s="192" t="str">
        <f>E54</f>
        <v/>
      </c>
      <c r="G54" s="20" t="str">
        <f>IF(H54=1,"JPG","DVD Slide Show")</f>
        <v>JPG</v>
      </c>
      <c r="H54" s="21">
        <v>1</v>
      </c>
    </row>
    <row r="55" spans="1:18" ht="21.75" customHeight="1" thickBot="1" x14ac:dyDescent="0.25">
      <c r="A55" s="119">
        <v>55</v>
      </c>
      <c r="B55" s="126" t="s">
        <v>144</v>
      </c>
      <c r="C55" s="140"/>
      <c r="D55" s="187"/>
      <c r="E55" s="187"/>
      <c r="F55" s="193"/>
      <c r="G55" s="20"/>
      <c r="H55" s="21"/>
    </row>
    <row r="56" spans="1:18" ht="21" customHeight="1" thickBot="1" x14ac:dyDescent="0.3">
      <c r="A56" s="14">
        <v>56</v>
      </c>
      <c r="B56" s="292" t="s">
        <v>126</v>
      </c>
      <c r="C56" s="200" t="s">
        <v>35</v>
      </c>
      <c r="D56" s="201" t="str">
        <f>D53</f>
        <v>Disks</v>
      </c>
      <c r="E56" s="202" t="s">
        <v>125</v>
      </c>
      <c r="F56" s="193"/>
      <c r="G56" s="20"/>
      <c r="H56" s="21"/>
      <c r="I56" s="22"/>
      <c r="L56" s="27"/>
    </row>
    <row r="57" spans="1:18" ht="27" customHeight="1" thickBot="1" x14ac:dyDescent="0.25">
      <c r="A57" s="14">
        <v>57</v>
      </c>
      <c r="B57" s="189" t="str">
        <f>IF(B54="Flash Drv. customer provides","How many Flash Drv. copies?",IF(B56="I do want duplicate sets","How many Duplicates do you want? :",""))</f>
        <v/>
      </c>
      <c r="C57" s="203">
        <v>0</v>
      </c>
      <c r="D57" s="206" t="str">
        <f>IF(B56="I do not want Duplicates","",SUM(D54*C57))</f>
        <v/>
      </c>
      <c r="E57" s="204" t="str">
        <f>IF(D57="","",IF(D56="Disks",10,IF(B54="Flash Drv. customer sends w Order",10,C57*E54)))</f>
        <v/>
      </c>
      <c r="F57" s="251" t="str">
        <f>IF(D57="","",IF(D56="Disks",E57*D57,E57))</f>
        <v/>
      </c>
      <c r="G57" s="20"/>
    </row>
    <row r="58" spans="1:18" ht="12.75" customHeight="1" thickBot="1" x14ac:dyDescent="0.25">
      <c r="A58" s="14">
        <v>58</v>
      </c>
      <c r="B58" s="199"/>
      <c r="C58" s="404"/>
      <c r="D58" s="404"/>
      <c r="E58" s="405"/>
      <c r="F58" s="252">
        <f>SUM(F54:F57)</f>
        <v>0</v>
      </c>
      <c r="G58" s="31"/>
    </row>
    <row r="59" spans="1:18" ht="12.75" customHeight="1" thickBot="1" x14ac:dyDescent="0.3">
      <c r="A59" s="119">
        <v>59</v>
      </c>
      <c r="B59" s="402" t="s">
        <v>50</v>
      </c>
      <c r="C59" s="378"/>
      <c r="D59" s="378"/>
      <c r="E59" s="378"/>
      <c r="F59" s="403"/>
    </row>
    <row r="60" spans="1:18" ht="12" thickBot="1" x14ac:dyDescent="0.25">
      <c r="A60" s="14">
        <v>60</v>
      </c>
      <c r="B60" s="259"/>
      <c r="C60" s="26"/>
      <c r="D60" s="55"/>
      <c r="E60" s="61" t="s">
        <v>29</v>
      </c>
      <c r="F60" s="79">
        <f>SUM(F52+F58)</f>
        <v>0</v>
      </c>
    </row>
    <row r="61" spans="1:18" ht="33.75" customHeight="1" thickBot="1" x14ac:dyDescent="0.25">
      <c r="A61" s="14">
        <v>61</v>
      </c>
      <c r="B61" s="332" t="s">
        <v>110</v>
      </c>
      <c r="C61" s="333"/>
      <c r="D61" s="331" t="b">
        <v>0</v>
      </c>
      <c r="E61" s="59">
        <v>1.5</v>
      </c>
      <c r="F61" s="60">
        <f>IF(D61=TRUE,(F60*E61)-F60,0)</f>
        <v>0</v>
      </c>
    </row>
    <row r="62" spans="1:18" ht="12" thickBot="1" x14ac:dyDescent="0.25">
      <c r="A62" s="14">
        <v>62</v>
      </c>
      <c r="B62" s="259"/>
      <c r="C62" s="23"/>
      <c r="D62" s="55"/>
      <c r="E62" s="61" t="s">
        <v>29</v>
      </c>
      <c r="F62" s="62">
        <f>(F61+F60)</f>
        <v>0</v>
      </c>
    </row>
    <row r="63" spans="1:18" ht="16.5" customHeight="1" x14ac:dyDescent="0.2">
      <c r="A63" s="119">
        <v>63</v>
      </c>
      <c r="B63" s="259"/>
      <c r="C63" s="23"/>
      <c r="D63" s="23"/>
      <c r="E63" s="23"/>
      <c r="F63" s="270"/>
    </row>
    <row r="64" spans="1:18" s="17" customFormat="1" ht="33.75" x14ac:dyDescent="0.25">
      <c r="A64" s="14">
        <v>64</v>
      </c>
      <c r="B64" s="334" t="s">
        <v>3</v>
      </c>
      <c r="C64" s="335"/>
      <c r="D64" s="245" t="s">
        <v>87</v>
      </c>
      <c r="E64" s="317" t="s">
        <v>46</v>
      </c>
      <c r="F64" s="271">
        <f>IF(E64="Pickup",0,Calculations!B29)</f>
        <v>0</v>
      </c>
    </row>
    <row r="65" spans="1:21" s="17" customFormat="1" ht="27.75" customHeight="1" x14ac:dyDescent="0.25">
      <c r="A65" s="14">
        <v>65</v>
      </c>
      <c r="B65" s="352" t="s">
        <v>112</v>
      </c>
      <c r="C65" s="353"/>
      <c r="D65" s="124" t="b">
        <v>1</v>
      </c>
      <c r="E65" s="272"/>
      <c r="F65" s="271"/>
    </row>
    <row r="66" spans="1:21" s="17" customFormat="1" ht="22.5" customHeight="1" thickBot="1" x14ac:dyDescent="0.25">
      <c r="A66" s="14">
        <v>66</v>
      </c>
      <c r="B66" s="340" t="s">
        <v>113</v>
      </c>
      <c r="C66" s="341"/>
      <c r="D66" s="215" t="b">
        <v>0</v>
      </c>
      <c r="E66" s="76">
        <v>3.5</v>
      </c>
      <c r="F66" s="273">
        <f>IF(D66=TRUE,E66,0)</f>
        <v>0</v>
      </c>
    </row>
    <row r="67" spans="1:21" s="17" customFormat="1" ht="18.75" thickBot="1" x14ac:dyDescent="0.25">
      <c r="A67" s="119">
        <v>67</v>
      </c>
      <c r="B67" s="274"/>
      <c r="C67" s="209"/>
      <c r="D67" s="210"/>
      <c r="E67" s="61" t="s">
        <v>29</v>
      </c>
      <c r="F67" s="275">
        <f>SUM(F62:F66)</f>
        <v>0</v>
      </c>
      <c r="G67" s="73"/>
      <c r="H67" s="73"/>
      <c r="I67" s="73"/>
      <c r="J67" s="74"/>
      <c r="K67" s="75"/>
      <c r="L67" s="23"/>
      <c r="M67" s="24"/>
    </row>
    <row r="68" spans="1:21" s="17" customFormat="1" ht="16.5" customHeight="1" thickBot="1" x14ac:dyDescent="0.25">
      <c r="A68" s="14">
        <v>68</v>
      </c>
      <c r="B68" s="276" t="s">
        <v>30</v>
      </c>
      <c r="C68" s="213" t="s">
        <v>191</v>
      </c>
      <c r="D68" s="214" t="b">
        <v>0</v>
      </c>
      <c r="E68" s="208"/>
      <c r="F68" s="277">
        <f>IF(D68=TRUE,F67*0.055,0)</f>
        <v>0</v>
      </c>
      <c r="H68" s="24"/>
      <c r="I68" s="25"/>
      <c r="J68" s="24"/>
      <c r="K68" s="23"/>
    </row>
    <row r="69" spans="1:21" ht="12" thickBot="1" x14ac:dyDescent="0.25">
      <c r="A69" s="14">
        <v>69</v>
      </c>
      <c r="B69" s="278"/>
      <c r="C69" s="211"/>
      <c r="D69" s="212"/>
      <c r="E69" s="77" t="s">
        <v>63</v>
      </c>
      <c r="F69" s="117">
        <f>SUM(F67:F68)</f>
        <v>0</v>
      </c>
    </row>
    <row r="70" spans="1:21" s="17" customFormat="1" ht="33.75" customHeight="1" x14ac:dyDescent="0.25">
      <c r="A70" s="14">
        <v>70</v>
      </c>
      <c r="B70" s="344" t="s">
        <v>57</v>
      </c>
      <c r="C70" s="345"/>
      <c r="D70" s="346"/>
      <c r="E70" s="116" t="str">
        <f>IF(D61=TRUE,"Pay in Full:","Deposit:")</f>
        <v>Deposit:</v>
      </c>
      <c r="F70" s="279">
        <f>IF(D61=TRUE,F69,((F69/2)))</f>
        <v>0</v>
      </c>
    </row>
    <row r="71" spans="1:21" ht="33.75" x14ac:dyDescent="0.2">
      <c r="A71" s="119">
        <v>71</v>
      </c>
      <c r="B71" s="280"/>
      <c r="C71" s="342" t="s">
        <v>42</v>
      </c>
      <c r="D71" s="343"/>
      <c r="E71" s="13" t="s">
        <v>33</v>
      </c>
      <c r="F71" s="281">
        <f>IF(D61=TRUE,0,(F69-F70))</f>
        <v>0</v>
      </c>
    </row>
    <row r="72" spans="1:21" ht="25.5" customHeight="1" x14ac:dyDescent="0.25">
      <c r="A72" s="14">
        <v>72</v>
      </c>
      <c r="B72" s="349" t="s">
        <v>5</v>
      </c>
      <c r="C72" s="350"/>
      <c r="D72" s="350"/>
      <c r="E72" s="350"/>
      <c r="F72" s="351"/>
    </row>
    <row r="73" spans="1:21" ht="17.25" customHeight="1" x14ac:dyDescent="0.25">
      <c r="A73" s="14">
        <v>73</v>
      </c>
      <c r="B73" s="379"/>
      <c r="C73" s="379"/>
      <c r="D73" s="379"/>
      <c r="E73" s="379"/>
      <c r="F73" s="380"/>
    </row>
    <row r="74" spans="1:21" ht="26.25" customHeight="1" x14ac:dyDescent="0.2">
      <c r="A74" s="14">
        <v>74</v>
      </c>
      <c r="B74" s="348" t="s">
        <v>45</v>
      </c>
      <c r="C74" s="348"/>
      <c r="D74" s="348"/>
      <c r="E74" s="348"/>
      <c r="F74" s="348"/>
    </row>
    <row r="75" spans="1:21" ht="53.25" customHeight="1" x14ac:dyDescent="0.2">
      <c r="A75" s="119">
        <v>75</v>
      </c>
      <c r="B75" s="338"/>
      <c r="C75" s="338"/>
      <c r="D75" s="338"/>
      <c r="E75" s="338"/>
      <c r="F75" s="338"/>
      <c r="U75" s="23"/>
    </row>
    <row r="76" spans="1:21" ht="66" customHeight="1" x14ac:dyDescent="0.2">
      <c r="A76" s="14">
        <v>76</v>
      </c>
      <c r="B76" s="283" t="s">
        <v>56</v>
      </c>
      <c r="C76" s="339" t="s">
        <v>117</v>
      </c>
      <c r="D76" s="339"/>
      <c r="E76" s="339" t="s">
        <v>11</v>
      </c>
      <c r="F76" s="339"/>
      <c r="U76" s="23"/>
    </row>
    <row r="77" spans="1:21" ht="14.25" customHeight="1" x14ac:dyDescent="0.25">
      <c r="A77" s="14">
        <v>77</v>
      </c>
      <c r="B77" s="350" t="s">
        <v>59</v>
      </c>
      <c r="C77" s="378"/>
      <c r="D77" s="378"/>
      <c r="E77" s="347">
        <f ca="1">NOW()</f>
        <v>42276.535192939817</v>
      </c>
      <c r="F77" s="347"/>
    </row>
    <row r="78" spans="1:21" ht="18" x14ac:dyDescent="0.25">
      <c r="A78" s="14">
        <v>78</v>
      </c>
      <c r="B78" s="336" t="s">
        <v>70</v>
      </c>
      <c r="C78" s="337"/>
      <c r="D78" s="284">
        <v>0</v>
      </c>
      <c r="E78" s="23"/>
      <c r="F78" s="23"/>
    </row>
    <row r="79" spans="1:21" ht="12" x14ac:dyDescent="0.2">
      <c r="A79" s="119">
        <v>79</v>
      </c>
      <c r="B79" s="381" t="s">
        <v>53</v>
      </c>
      <c r="C79" s="381"/>
      <c r="D79" s="381"/>
      <c r="E79" s="381"/>
      <c r="F79" s="381"/>
    </row>
    <row r="80" spans="1:21" ht="27.75" customHeight="1" x14ac:dyDescent="0.2">
      <c r="A80" s="14">
        <v>80</v>
      </c>
      <c r="B80" s="370" t="s">
        <v>195</v>
      </c>
      <c r="C80" s="370"/>
      <c r="D80" s="370"/>
      <c r="E80" s="370"/>
      <c r="F80" s="371"/>
    </row>
    <row r="81" spans="1:8" ht="39" customHeight="1" x14ac:dyDescent="0.2">
      <c r="A81" s="14">
        <v>81</v>
      </c>
      <c r="B81" s="374" t="s">
        <v>120</v>
      </c>
      <c r="C81" s="374"/>
      <c r="D81" s="368">
        <f>F70</f>
        <v>0</v>
      </c>
      <c r="E81" s="369"/>
      <c r="F81" s="282"/>
    </row>
    <row r="82" spans="1:8" ht="18" x14ac:dyDescent="0.2">
      <c r="A82" s="14">
        <v>82</v>
      </c>
      <c r="B82" s="372" t="str">
        <f>IF(D61=TRUE,"For RUSH service, you need to send payment as Money Order or", "")</f>
        <v/>
      </c>
      <c r="C82" s="372"/>
      <c r="D82" s="372"/>
      <c r="E82" s="372"/>
      <c r="F82" s="372"/>
    </row>
    <row r="83" spans="1:8" ht="18" x14ac:dyDescent="0.2">
      <c r="A83" s="119">
        <v>83</v>
      </c>
      <c r="B83" s="372" t="str">
        <f>IF(D61=TRUE,"Official Bank Check, or shipment will be delayed as we wait for", "")</f>
        <v/>
      </c>
      <c r="C83" s="372"/>
      <c r="D83" s="372"/>
      <c r="E83" s="372"/>
      <c r="F83" s="372"/>
    </row>
    <row r="84" spans="1:8" ht="18" x14ac:dyDescent="0.2">
      <c r="A84" s="14">
        <v>84</v>
      </c>
      <c r="B84" s="372" t="str">
        <f>IF(D61=TRUE,"your personal check to clear. There may be additional shipping charges.", "")</f>
        <v/>
      </c>
      <c r="C84" s="372"/>
      <c r="D84" s="372"/>
      <c r="E84" s="372"/>
      <c r="F84" s="372"/>
    </row>
    <row r="85" spans="1:8" ht="41.25" customHeight="1" x14ac:dyDescent="0.2">
      <c r="A85" s="14">
        <v>85</v>
      </c>
      <c r="B85" s="373" t="s">
        <v>210</v>
      </c>
      <c r="C85" s="373"/>
      <c r="D85" s="373"/>
      <c r="E85" s="373"/>
      <c r="F85" s="373"/>
      <c r="H85" s="2" t="s">
        <v>43</v>
      </c>
    </row>
    <row r="86" spans="1:8" ht="15" customHeight="1" x14ac:dyDescent="0.2">
      <c r="A86" s="14">
        <v>86</v>
      </c>
      <c r="B86" s="375" t="s">
        <v>199</v>
      </c>
      <c r="C86" s="376"/>
      <c r="D86" s="376"/>
      <c r="E86" s="376"/>
      <c r="F86" s="377"/>
    </row>
    <row r="87" spans="1:8" ht="18" x14ac:dyDescent="0.25">
      <c r="A87" s="119">
        <v>87</v>
      </c>
      <c r="B87" s="365" t="s">
        <v>192</v>
      </c>
      <c r="C87" s="366"/>
      <c r="D87" s="366"/>
      <c r="E87" s="366"/>
      <c r="F87" s="367"/>
    </row>
    <row r="88" spans="1:8" ht="15.75" customHeight="1" x14ac:dyDescent="0.2"/>
    <row r="90" spans="1:8" ht="24" customHeight="1" x14ac:dyDescent="0.2"/>
    <row r="91" spans="1:8" ht="21.75" customHeight="1" x14ac:dyDescent="0.2"/>
    <row r="92" spans="1:8" ht="21.75" customHeight="1" x14ac:dyDescent="0.2"/>
    <row r="93" spans="1:8" ht="22.5" customHeight="1" x14ac:dyDescent="0.2"/>
    <row r="94" spans="1:8" ht="28.5" customHeight="1" x14ac:dyDescent="0.2"/>
  </sheetData>
  <mergeCells count="45">
    <mergeCell ref="B28:D28"/>
    <mergeCell ref="B59:F59"/>
    <mergeCell ref="C58:E58"/>
    <mergeCell ref="C8:F8"/>
    <mergeCell ref="D14:F14"/>
    <mergeCell ref="D15:F15"/>
    <mergeCell ref="B35:D35"/>
    <mergeCell ref="D11:F11"/>
    <mergeCell ref="B16:B17"/>
    <mergeCell ref="D13:F13"/>
    <mergeCell ref="C3:E3"/>
    <mergeCell ref="D12:F12"/>
    <mergeCell ref="D16:F16"/>
    <mergeCell ref="D17:F17"/>
    <mergeCell ref="D5:F5"/>
    <mergeCell ref="D4:F4"/>
    <mergeCell ref="C1:F1"/>
    <mergeCell ref="E2:F2"/>
    <mergeCell ref="D9:F9"/>
    <mergeCell ref="D10:F10"/>
    <mergeCell ref="B87:F87"/>
    <mergeCell ref="D81:E81"/>
    <mergeCell ref="B80:F80"/>
    <mergeCell ref="B82:F82"/>
    <mergeCell ref="B85:F85"/>
    <mergeCell ref="B81:C81"/>
    <mergeCell ref="B84:F84"/>
    <mergeCell ref="B86:F86"/>
    <mergeCell ref="B83:F83"/>
    <mergeCell ref="B77:D77"/>
    <mergeCell ref="B73:F73"/>
    <mergeCell ref="B79:F79"/>
    <mergeCell ref="B61:C61"/>
    <mergeCell ref="B64:C64"/>
    <mergeCell ref="B78:C78"/>
    <mergeCell ref="B75:F75"/>
    <mergeCell ref="E76:F76"/>
    <mergeCell ref="C76:D76"/>
    <mergeCell ref="B66:C66"/>
    <mergeCell ref="C71:D71"/>
    <mergeCell ref="B70:D70"/>
    <mergeCell ref="E77:F77"/>
    <mergeCell ref="B74:F74"/>
    <mergeCell ref="B72:F72"/>
    <mergeCell ref="B65:C65"/>
  </mergeCells>
  <phoneticPr fontId="0" type="noConversion"/>
  <dataValidations xWindow="395" yWindow="811" count="4">
    <dataValidation type="list" allowBlank="1" showInputMessage="1" showErrorMessage="1" sqref="B54">
      <formula1>DiskList</formula1>
    </dataValidation>
    <dataValidation type="list" allowBlank="1" showInputMessage="1" showErrorMessage="1" promptTitle="Do You Want Duplicates?" prompt="Use the Pulldown arrow to make your selection." sqref="B56">
      <formula1>DuplicateSelections</formula1>
    </dataValidation>
    <dataValidation type="list" allowBlank="1" showInputMessage="1" showErrorMessage="1" sqref="B42">
      <formula1>_options2</formula1>
    </dataValidation>
    <dataValidation type="list" allowBlank="1" showInputMessage="1" showErrorMessage="1" sqref="E64">
      <formula1>_options3</formula1>
    </dataValidation>
  </dataValidations>
  <hyperlinks>
    <hyperlink ref="B80:E80" r:id="rId1" display="I have viewed the instruction movies for Slide and Photo prep. Click HERE if you haven't."/>
    <hyperlink ref="B47" r:id="rId2"/>
    <hyperlink ref="B45" r:id="rId3"/>
    <hyperlink ref="B15" r:id="rId4"/>
    <hyperlink ref="C14" r:id="rId5"/>
    <hyperlink ref="C15" r:id="rId6" display="http://www.old-photo.com/pages/free-demo-scans.html"/>
    <hyperlink ref="B65:C65" r:id="rId7" display="http://www.old-photo.com/pages/non-usa-orders.htm"/>
    <hyperlink ref="B49" r:id="rId8"/>
    <hyperlink ref="B7" r:id="rId9" display="http://www.old-photo.com/pages/movies-for-slide-preparation.htm"/>
    <hyperlink ref="B6" r:id="rId10"/>
    <hyperlink ref="B26" r:id="rId11"/>
    <hyperlink ref="B25" r:id="rId12"/>
    <hyperlink ref="B24" r:id="rId13" display="127 Or Super Slide 2x2&quot; holders"/>
    <hyperlink ref="B23" r:id="rId14"/>
    <hyperlink ref="B22" r:id="rId15"/>
    <hyperlink ref="B21" r:id="rId16"/>
    <hyperlink ref="B80:F80" r:id="rId17" display="http://www.old-photo.com/pages/movies-for-slide-preparation.htm"/>
    <hyperlink ref="B32" r:id="rId18" display="Number of Up To 11.6&quot; X 17&quot; photos or Album Pages"/>
  </hyperlinks>
  <printOptions gridLines="1"/>
  <pageMargins left="0.75" right="0.75" top="1" bottom="1" header="0.5" footer="0.5"/>
  <pageSetup scale="67" fitToHeight="2" orientation="portrait" horizontalDpi="4294967293" verticalDpi="1200" r:id="rId19"/>
  <headerFooter alignWithMargins="0">
    <oddHeader>&amp;L&amp;9&amp;Z&amp;F</oddHeader>
  </headerFooter>
  <drawing r:id="rId20"/>
  <legacyDrawing r:id="rId21"/>
  <mc:AlternateContent xmlns:mc="http://schemas.openxmlformats.org/markup-compatibility/2006">
    <mc:Choice Requires="x14">
      <controls>
        <mc:AlternateContent xmlns:mc="http://schemas.openxmlformats.org/markup-compatibility/2006">
          <mc:Choice Requires="x14">
            <control shapeId="1025" r:id="rId22" name="Check Box 1">
              <controlPr defaultSize="0" autoFill="0" autoLine="0" autoPict="0" altText="Check to pay WI tax.">
                <anchor moveWithCells="1">
                  <from>
                    <xdr:col>3</xdr:col>
                    <xdr:colOff>28575</xdr:colOff>
                    <xdr:row>67</xdr:row>
                    <xdr:rowOff>19050</xdr:rowOff>
                  </from>
                  <to>
                    <xdr:col>3</xdr:col>
                    <xdr:colOff>333375</xdr:colOff>
                    <xdr:row>68</xdr:row>
                    <xdr:rowOff>28575</xdr:rowOff>
                  </to>
                </anchor>
              </controlPr>
            </control>
          </mc:Choice>
        </mc:AlternateContent>
        <mc:AlternateContent xmlns:mc="http://schemas.openxmlformats.org/markup-compatibility/2006">
          <mc:Choice Requires="x14">
            <control shapeId="1027" r:id="rId23" name="Check Box 3">
              <controlPr defaultSize="0" autoFill="0" autoLine="0" autoPict="0" altText="Check to pay WI tax.">
                <anchor moveWithCells="1">
                  <from>
                    <xdr:col>3</xdr:col>
                    <xdr:colOff>95250</xdr:colOff>
                    <xdr:row>60</xdr:row>
                    <xdr:rowOff>57150</xdr:rowOff>
                  </from>
                  <to>
                    <xdr:col>3</xdr:col>
                    <xdr:colOff>400050</xdr:colOff>
                    <xdr:row>61</xdr:row>
                    <xdr:rowOff>9525</xdr:rowOff>
                  </to>
                </anchor>
              </controlPr>
            </control>
          </mc:Choice>
        </mc:AlternateContent>
        <mc:AlternateContent xmlns:mc="http://schemas.openxmlformats.org/markup-compatibility/2006">
          <mc:Choice Requires="x14">
            <control shapeId="1114" r:id="rId24" name="Check Box 90">
              <controlPr defaultSize="0" autoFill="0" autoLine="0" autoPict="0">
                <anchor moveWithCells="1">
                  <from>
                    <xdr:col>2</xdr:col>
                    <xdr:colOff>47625</xdr:colOff>
                    <xdr:row>50</xdr:row>
                    <xdr:rowOff>38100</xdr:rowOff>
                  </from>
                  <to>
                    <xdr:col>2</xdr:col>
                    <xdr:colOff>352425</xdr:colOff>
                    <xdr:row>50</xdr:row>
                    <xdr:rowOff>257175</xdr:rowOff>
                  </to>
                </anchor>
              </controlPr>
            </control>
          </mc:Choice>
        </mc:AlternateContent>
        <mc:AlternateContent xmlns:mc="http://schemas.openxmlformats.org/markup-compatibility/2006">
          <mc:Choice Requires="x14">
            <control shapeId="1275" r:id="rId25" name="Check Box 251">
              <controlPr defaultSize="0" autoFill="0" autoLine="0" autoPict="0" altText="Check to have signnature delivery.">
                <anchor moveWithCells="1">
                  <from>
                    <xdr:col>3</xdr:col>
                    <xdr:colOff>19050</xdr:colOff>
                    <xdr:row>65</xdr:row>
                    <xdr:rowOff>0</xdr:rowOff>
                  </from>
                  <to>
                    <xdr:col>3</xdr:col>
                    <xdr:colOff>323850</xdr:colOff>
                    <xdr:row>65</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topLeftCell="A4" workbookViewId="0">
      <selection activeCell="B25" sqref="B25"/>
    </sheetView>
  </sheetViews>
  <sheetFormatPr defaultRowHeight="18" x14ac:dyDescent="0.25"/>
  <cols>
    <col min="1" max="1" width="17" customWidth="1"/>
  </cols>
  <sheetData>
    <row r="1" spans="1:14" x14ac:dyDescent="0.25">
      <c r="A1" s="100" t="str">
        <f>IF(D17&gt;0,"Spec.","")</f>
        <v/>
      </c>
      <c r="B1" s="101"/>
      <c r="C1" s="102" t="str">
        <f>IF(D55&gt;0,"Sign","")</f>
        <v/>
      </c>
      <c r="D1" s="103"/>
      <c r="E1" t="s">
        <v>65</v>
      </c>
    </row>
    <row r="2" spans="1:14" x14ac:dyDescent="0.25">
      <c r="A2" s="104" t="str">
        <f>IF(D57=0,"",IF(F40=2,"SS","JPG"))</f>
        <v/>
      </c>
      <c r="B2" s="105" t="str">
        <f>IF(D33&gt;0,"TF","")</f>
        <v/>
      </c>
      <c r="C2" s="105" t="str">
        <f>IF(D29&gt;0,"PRTS","")</f>
        <v/>
      </c>
      <c r="D2" s="106" t="str">
        <f>IF(B51=TRUE,"RUSH","")</f>
        <v/>
      </c>
    </row>
    <row r="3" spans="1:14" x14ac:dyDescent="0.25">
      <c r="A3" s="107" t="str">
        <f>IF(D57=0,"",IF(A2="JPG","",IF(F43=TRUE,"Music","No Music")))</f>
        <v/>
      </c>
      <c r="B3" s="108" t="str">
        <f>IF(D48&gt;0,"Dupe","")</f>
        <v/>
      </c>
      <c r="C3" s="109" t="str">
        <f>IF(A16=0,"","127")</f>
        <v>127</v>
      </c>
      <c r="D3" s="110" t="str">
        <f>IF(A36=TRUE,"Prep","")</f>
        <v/>
      </c>
    </row>
    <row r="4" spans="1:14" ht="18.75" thickBot="1" x14ac:dyDescent="0.3">
      <c r="A4" s="111" t="str">
        <f>IF(D31&gt;0,"Thmbs","")</f>
        <v/>
      </c>
      <c r="B4" s="112" t="str">
        <f>IF(F40=3,"CDs","")</f>
        <v/>
      </c>
      <c r="C4" s="112" t="str">
        <f>IF(D56&gt;0,"WI","")</f>
        <v/>
      </c>
      <c r="D4" s="113" t="str">
        <f>IF(B66&gt;0,"Ins.","")</f>
        <v/>
      </c>
    </row>
    <row r="6" spans="1:14" x14ac:dyDescent="0.25">
      <c r="A6" t="s">
        <v>67</v>
      </c>
    </row>
    <row r="7" spans="1:14" ht="18.75" thickBot="1" x14ac:dyDescent="0.3">
      <c r="A7" t="s">
        <v>0</v>
      </c>
    </row>
    <row r="8" spans="1:14" ht="45.75" thickBot="1" x14ac:dyDescent="0.3">
      <c r="A8" s="14">
        <v>38</v>
      </c>
      <c r="B8" s="54" t="s">
        <v>60</v>
      </c>
      <c r="C8" s="34" t="s">
        <v>98</v>
      </c>
      <c r="D8" s="36" t="s">
        <v>97</v>
      </c>
      <c r="E8" s="35"/>
      <c r="F8" s="6"/>
      <c r="G8" s="20"/>
      <c r="H8" s="21"/>
      <c r="I8" s="21"/>
      <c r="J8" s="2"/>
      <c r="K8" s="2"/>
      <c r="L8" s="2"/>
      <c r="M8" s="2"/>
      <c r="N8" s="2"/>
    </row>
    <row r="9" spans="1:14" ht="23.25" thickBot="1" x14ac:dyDescent="0.3">
      <c r="A9" s="14">
        <v>39</v>
      </c>
      <c r="B9" s="86" t="s">
        <v>94</v>
      </c>
      <c r="C9" s="87"/>
      <c r="D9" s="85" t="e">
        <f>IF(H10=TRUE,"",IF(G9="JPG",I11,IF(G9="DVD Slide Show","","")))</f>
        <v>#REF!</v>
      </c>
      <c r="E9" s="53" t="str">
        <f>IF(H10=TRUE,"",IF(H9=1,"NO CHARGE!",""))</f>
        <v>NO CHARGE!</v>
      </c>
      <c r="F9" s="39"/>
      <c r="G9" s="20" t="str">
        <f>IF(H9=1,"JPG","DVD Slide Show")</f>
        <v>JPG</v>
      </c>
      <c r="H9" s="21">
        <v>1</v>
      </c>
      <c r="I9" s="21" t="s">
        <v>99</v>
      </c>
      <c r="J9" s="2" t="s">
        <v>96</v>
      </c>
      <c r="K9" s="2" t="s">
        <v>203</v>
      </c>
      <c r="L9" s="2"/>
      <c r="M9" s="2"/>
      <c r="N9" s="2"/>
    </row>
    <row r="10" spans="1:14" ht="33.75" x14ac:dyDescent="0.25">
      <c r="A10" s="14">
        <v>40</v>
      </c>
      <c r="B10" s="88" t="str">
        <f>IF(H9=2,"","I want CD data disks instead of DVD data disks")</f>
        <v>I want CD data disks instead of DVD data disks</v>
      </c>
      <c r="C10" s="89"/>
      <c r="D10" s="84">
        <f>IF(H9=2,0,IF(H9=1,0,(ROUNDUP(((#REF!))/160,0))))</f>
        <v>0</v>
      </c>
      <c r="E10" s="45">
        <f>IF(H9=2,0,10)</f>
        <v>10</v>
      </c>
      <c r="F10" s="46">
        <f>IF(H9=2,0,IF(H9=1,0,IF(D10=0,0,(D10-1)*E10)))</f>
        <v>0</v>
      </c>
      <c r="G10" s="20"/>
      <c r="H10" s="21"/>
      <c r="I10" s="21"/>
      <c r="J10" s="2"/>
      <c r="K10" s="2"/>
      <c r="L10" s="2"/>
      <c r="M10" s="2"/>
      <c r="N10" s="2"/>
    </row>
    <row r="11" spans="1:14" ht="45" x14ac:dyDescent="0.25">
      <c r="A11" s="14">
        <v>41</v>
      </c>
      <c r="B11" s="82" t="s">
        <v>95</v>
      </c>
      <c r="C11" s="83"/>
      <c r="D11" s="38" t="str">
        <f>IF(G9="JPG","",IF(G9="DVD Slide Show",J11,""))</f>
        <v/>
      </c>
      <c r="E11" s="38" t="s">
        <v>54</v>
      </c>
      <c r="F11" s="40"/>
      <c r="G11" s="20"/>
      <c r="H11" s="21"/>
      <c r="I11" s="22" t="e">
        <f>ROUNDUP(((#REF!))/1500,0)</f>
        <v>#REF!</v>
      </c>
      <c r="J11" s="2" t="e">
        <f>ROUNDUP(((#REF!))/600,0)</f>
        <v>#REF!</v>
      </c>
      <c r="K11" s="2" t="e">
        <f>ROUNDUP(((#REF!))/600,0)</f>
        <v>#REF!</v>
      </c>
      <c r="L11" s="27" t="e">
        <f>"Size Flash Drv. to send with order = "&amp;ROUNDUP(((#REF!))/500,0)&amp;" Gigs"</f>
        <v>#REF!</v>
      </c>
      <c r="M11" s="2"/>
      <c r="N11" s="2"/>
    </row>
    <row r="12" spans="1:14" ht="18.75" thickBot="1" x14ac:dyDescent="0.3">
      <c r="A12" s="14">
        <v>42</v>
      </c>
      <c r="B12" s="41" t="str">
        <f>IF(H9=2,"Music on your Slide Show Disk? Check the box for YES :","")</f>
        <v/>
      </c>
      <c r="C12" s="42"/>
      <c r="D12" s="43"/>
      <c r="E12" s="43"/>
      <c r="F12" s="44"/>
      <c r="G12" s="20" t="s">
        <v>100</v>
      </c>
      <c r="H12" s="21" t="b">
        <v>0</v>
      </c>
      <c r="I12" s="22"/>
      <c r="J12" s="2"/>
      <c r="K12" s="2"/>
      <c r="L12" s="27"/>
      <c r="M12" s="2"/>
      <c r="N12" s="2"/>
    </row>
    <row r="13" spans="1:14" ht="35.25" thickBot="1" x14ac:dyDescent="0.3">
      <c r="A13" s="14">
        <v>43</v>
      </c>
      <c r="B13" s="72" t="s">
        <v>55</v>
      </c>
      <c r="C13" s="18" t="s">
        <v>62</v>
      </c>
      <c r="D13" s="5" t="s">
        <v>36</v>
      </c>
      <c r="E13" s="37" t="s">
        <v>37</v>
      </c>
      <c r="F13" s="6"/>
      <c r="G13" s="20"/>
      <c r="H13" s="2"/>
      <c r="I13" s="2"/>
      <c r="J13" s="2"/>
      <c r="K13" s="2"/>
      <c r="L13" s="2"/>
      <c r="M13" s="2"/>
      <c r="N13" s="2"/>
    </row>
    <row r="14" spans="1:14" ht="45" x14ac:dyDescent="0.25">
      <c r="A14" s="14">
        <v>44</v>
      </c>
      <c r="B14" s="90" t="s">
        <v>106</v>
      </c>
      <c r="C14" s="91">
        <v>0</v>
      </c>
      <c r="D14" s="92" t="e">
        <f>ROUNDUP(((#REF!))/160,0)*C14</f>
        <v>#REF!</v>
      </c>
      <c r="E14" s="98">
        <v>10</v>
      </c>
      <c r="F14" s="46" t="e">
        <f>IF(D14=0,0,(D14)*E14)</f>
        <v>#REF!</v>
      </c>
      <c r="G14" s="20"/>
      <c r="H14" s="2">
        <v>1</v>
      </c>
      <c r="I14" s="2" t="s">
        <v>52</v>
      </c>
      <c r="J14" s="2"/>
      <c r="K14" s="2"/>
      <c r="L14" s="2"/>
      <c r="M14" s="2"/>
      <c r="N14" s="2"/>
    </row>
    <row r="15" spans="1:14" ht="33.75" x14ac:dyDescent="0.25">
      <c r="A15" s="14">
        <v>45</v>
      </c>
      <c r="B15" s="47" t="s">
        <v>107</v>
      </c>
      <c r="C15" s="11">
        <v>0</v>
      </c>
      <c r="D15" s="12" t="e">
        <f>ROUNDUP(((#REF!))/1500,0)*C15</f>
        <v>#REF!</v>
      </c>
      <c r="E15" s="63">
        <v>10</v>
      </c>
      <c r="F15" s="48" t="e">
        <f>IF(D15=0,0,(D15)*E15)</f>
        <v>#REF!</v>
      </c>
      <c r="G15" s="20"/>
      <c r="H15" s="2"/>
      <c r="I15" s="2"/>
      <c r="J15" s="2"/>
      <c r="K15" s="2"/>
      <c r="L15" s="2"/>
      <c r="M15" s="2"/>
      <c r="N15" s="2"/>
    </row>
    <row r="16" spans="1:14" ht="34.5" thickBot="1" x14ac:dyDescent="0.3">
      <c r="A16" s="14">
        <v>46</v>
      </c>
      <c r="B16" s="49" t="s">
        <v>108</v>
      </c>
      <c r="C16" s="50">
        <v>0</v>
      </c>
      <c r="D16" s="51" t="e">
        <f>ROUNDUP(((#REF!))/600,0)*C16</f>
        <v>#REF!</v>
      </c>
      <c r="E16" s="99">
        <v>10</v>
      </c>
      <c r="F16" s="52" t="e">
        <f>IF(D16=0,0,(D16)*E16)</f>
        <v>#REF!</v>
      </c>
      <c r="G16" s="31" t="e">
        <f>SUM(F10:F16)</f>
        <v>#REF!</v>
      </c>
      <c r="H16" s="2"/>
      <c r="I16" s="2" t="s">
        <v>51</v>
      </c>
      <c r="J16" s="2"/>
      <c r="K16" s="2"/>
      <c r="L16" s="2"/>
      <c r="M16" s="2"/>
      <c r="N16" s="2"/>
    </row>
    <row r="17" spans="1:14" ht="18.75" thickBot="1" x14ac:dyDescent="0.3">
      <c r="A17" s="14">
        <v>47</v>
      </c>
      <c r="B17" s="93"/>
      <c r="C17" s="97"/>
      <c r="D17" s="94"/>
      <c r="E17" s="95" t="s">
        <v>109</v>
      </c>
      <c r="F17" s="96" t="e">
        <f>SUM(F14:F16)</f>
        <v>#REF!</v>
      </c>
      <c r="G17" s="31"/>
      <c r="H17" s="2"/>
      <c r="I17" s="2"/>
      <c r="J17" s="2"/>
      <c r="K17" s="2"/>
      <c r="L17" s="2"/>
      <c r="M17" s="2"/>
      <c r="N17" s="2"/>
    </row>
    <row r="18" spans="1:14" ht="18.75" thickBot="1" x14ac:dyDescent="0.3">
      <c r="A18" s="14">
        <v>48</v>
      </c>
      <c r="B18" s="427" t="s">
        <v>50</v>
      </c>
      <c r="C18" s="378"/>
      <c r="D18" s="378"/>
      <c r="E18" s="378"/>
      <c r="F18" s="378"/>
      <c r="G18" s="2"/>
      <c r="H18" s="2"/>
      <c r="I18" s="21"/>
      <c r="J18" s="2"/>
      <c r="K18" s="2"/>
      <c r="L18" s="2"/>
      <c r="M18" s="2"/>
      <c r="N18" s="2"/>
    </row>
    <row r="19" spans="1:14" ht="18.75" thickBot="1" x14ac:dyDescent="0.3">
      <c r="A19" s="14">
        <v>49</v>
      </c>
      <c r="B19" s="16" t="str">
        <f>IF(D20=TRUE,"Approximate","")</f>
        <v/>
      </c>
      <c r="C19" s="26" t="str">
        <f>IF(D20=TRUE," days to work","")</f>
        <v/>
      </c>
      <c r="D19" s="55"/>
      <c r="E19" s="78" t="s">
        <v>29</v>
      </c>
      <c r="F19" s="79" t="e">
        <f>SUM(F6+F10+F12+F17)</f>
        <v>#REF!</v>
      </c>
      <c r="G19" s="2"/>
      <c r="H19" s="2"/>
      <c r="I19" s="2"/>
      <c r="J19" s="2"/>
      <c r="K19" s="2"/>
      <c r="L19" s="2" t="e">
        <f>(F21*L23)</f>
        <v>#REF!</v>
      </c>
      <c r="M19" s="2"/>
      <c r="N19" s="2"/>
    </row>
    <row r="20" spans="1:14" ht="102" thickBot="1" x14ac:dyDescent="0.3">
      <c r="A20" s="14">
        <v>50</v>
      </c>
      <c r="B20" s="56" t="s">
        <v>58</v>
      </c>
      <c r="C20" s="57" t="str">
        <f>IF(D20=TRUE,ROUNDUP(1+(#REF!/250),0),"")</f>
        <v/>
      </c>
      <c r="D20" s="58" t="b">
        <v>0</v>
      </c>
      <c r="E20" s="59">
        <v>1.5</v>
      </c>
      <c r="F20" s="60">
        <f>IF(D20=TRUE,(F19*E20)-F19,0)</f>
        <v>0</v>
      </c>
      <c r="G20" s="2"/>
      <c r="H20" s="2"/>
      <c r="I20" s="2"/>
      <c r="J20" s="2"/>
      <c r="K20" s="2"/>
      <c r="L20" s="2"/>
      <c r="M20" s="2" t="e">
        <f>+#REF!-#REF!&amp;" days"</f>
        <v>#REF!</v>
      </c>
      <c r="N20" s="2"/>
    </row>
    <row r="21" spans="1:14" ht="18.75" thickBot="1" x14ac:dyDescent="0.3">
      <c r="A21" s="14">
        <v>51</v>
      </c>
      <c r="B21" s="16"/>
      <c r="C21" s="23"/>
      <c r="D21" s="55"/>
      <c r="E21" s="61" t="s">
        <v>29</v>
      </c>
      <c r="F21" s="62" t="e">
        <f>(F20+F19)</f>
        <v>#REF!</v>
      </c>
      <c r="G21" s="2"/>
      <c r="H21" s="2"/>
      <c r="I21" s="2"/>
      <c r="J21" s="2"/>
      <c r="K21" s="2"/>
      <c r="L21" s="27" t="s">
        <v>64</v>
      </c>
      <c r="M21" s="23" t="s">
        <v>46</v>
      </c>
      <c r="N21" s="2"/>
    </row>
    <row r="22" spans="1:14" ht="23.25" thickBot="1" x14ac:dyDescent="0.3">
      <c r="A22" s="14">
        <v>52</v>
      </c>
      <c r="B22" s="428" t="s">
        <v>66</v>
      </c>
      <c r="C22" s="335"/>
      <c r="D22" s="8" t="s">
        <v>87</v>
      </c>
      <c r="E22" s="10" t="s">
        <v>46</v>
      </c>
      <c r="F22" s="114" t="e">
        <f>IF(E22="Pickup",0,G22)</f>
        <v>#REF!</v>
      </c>
      <c r="G22" s="115" t="e">
        <f>SUM(H22+I22+J22)</f>
        <v>#REF!</v>
      </c>
      <c r="H22" s="68" t="e">
        <f>IF(#REF!=0,0,IF(#REF!&lt;20,1.5,IF(#REF!&lt;50,2,IF(#REF!&lt;101,2.5,IF(#REF!&lt;201,3,IF(#REF!&lt;301,4,IF(#REF!&lt;401,5,IF(#REF!&lt;501,6,"7"))))))))</f>
        <v>#REF!</v>
      </c>
      <c r="I22" s="68" t="e">
        <f>IF(#REF!&gt;0,2,0)</f>
        <v>#REF!</v>
      </c>
      <c r="J22" s="69" t="e">
        <f>IF(F21=0,0,IF(E22="Local Pickup",0,IF(E22="Priority Mail",IF(#REF!&lt;=39,K22,K22+(#REF!*L22)))))</f>
        <v>#REF!</v>
      </c>
      <c r="K22" s="70">
        <v>5.65</v>
      </c>
      <c r="L22" s="71">
        <v>0.03</v>
      </c>
      <c r="M22" s="24">
        <f>IF(F18&lt;=50,9,(F18*0.02)+9)</f>
        <v>9</v>
      </c>
      <c r="N22" s="17"/>
    </row>
    <row r="24" spans="1:14" x14ac:dyDescent="0.25">
      <c r="A24" t="s">
        <v>1</v>
      </c>
    </row>
    <row r="25" spans="1:14" x14ac:dyDescent="0.25">
      <c r="A25" t="s">
        <v>2</v>
      </c>
    </row>
  </sheetData>
  <mergeCells count="2">
    <mergeCell ref="B18:F18"/>
    <mergeCell ref="B22:C22"/>
  </mergeCells>
  <phoneticPr fontId="2" type="noConversion"/>
  <dataValidations count="1">
    <dataValidation type="list" allowBlank="1" showInputMessage="1" showErrorMessage="1" sqref="E22">
      <formula1>$L$51:$M$51</formula1>
    </dataValidation>
  </dataValidations>
  <pageMargins left="0.75" right="0.75" top="1" bottom="1" header="0.5" footer="0.5"/>
  <pageSetup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ltText="Check to pay WI tax.">
                <anchor moveWithCells="1">
                  <from>
                    <xdr:col>3</xdr:col>
                    <xdr:colOff>95250</xdr:colOff>
                    <xdr:row>19</xdr:row>
                    <xdr:rowOff>19050</xdr:rowOff>
                  </from>
                  <to>
                    <xdr:col>3</xdr:col>
                    <xdr:colOff>400050</xdr:colOff>
                    <xdr:row>19</xdr:row>
                    <xdr:rowOff>400050</xdr:rowOff>
                  </to>
                </anchor>
              </controlPr>
            </control>
          </mc:Choice>
        </mc:AlternateContent>
        <mc:AlternateContent xmlns:mc="http://schemas.openxmlformats.org/markup-compatibility/2006">
          <mc:Choice Requires="x14">
            <control shapeId="5133" r:id="rId5" name="Option Button 13">
              <controlPr defaultSize="0" autoFill="0" autoLine="0" autoPict="0">
                <anchor moveWithCells="1">
                  <from>
                    <xdr:col>2</xdr:col>
                    <xdr:colOff>38100</xdr:colOff>
                    <xdr:row>8</xdr:row>
                    <xdr:rowOff>0</xdr:rowOff>
                  </from>
                  <to>
                    <xdr:col>3</xdr:col>
                    <xdr:colOff>200025</xdr:colOff>
                    <xdr:row>8</xdr:row>
                    <xdr:rowOff>219075</xdr:rowOff>
                  </to>
                </anchor>
              </controlPr>
            </control>
          </mc:Choice>
        </mc:AlternateContent>
        <mc:AlternateContent xmlns:mc="http://schemas.openxmlformats.org/markup-compatibility/2006">
          <mc:Choice Requires="x14">
            <control shapeId="5134" r:id="rId6" name="Option Button 14">
              <controlPr defaultSize="0" autoFill="0" autoLine="0" autoPict="0">
                <anchor moveWithCells="1">
                  <from>
                    <xdr:col>2</xdr:col>
                    <xdr:colOff>38100</xdr:colOff>
                    <xdr:row>10</xdr:row>
                    <xdr:rowOff>28575</xdr:rowOff>
                  </from>
                  <to>
                    <xdr:col>3</xdr:col>
                    <xdr:colOff>238125</xdr:colOff>
                    <xdr:row>10</xdr:row>
                    <xdr:rowOff>247650</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2</xdr:col>
                    <xdr:colOff>28575</xdr:colOff>
                    <xdr:row>11</xdr:row>
                    <xdr:rowOff>66675</xdr:rowOff>
                  </from>
                  <to>
                    <xdr:col>3</xdr:col>
                    <xdr:colOff>57150</xdr:colOff>
                    <xdr:row>12</xdr:row>
                    <xdr:rowOff>47625</xdr:rowOff>
                  </to>
                </anchor>
              </controlPr>
            </control>
          </mc:Choice>
        </mc:AlternateContent>
        <mc:AlternateContent xmlns:mc="http://schemas.openxmlformats.org/markup-compatibility/2006">
          <mc:Choice Requires="x14">
            <control shapeId="5136" r:id="rId8" name="Option Button 16">
              <controlPr defaultSize="0" autoFill="0" autoLine="0" autoPict="0">
                <anchor moveWithCells="1">
                  <from>
                    <xdr:col>2</xdr:col>
                    <xdr:colOff>38100</xdr:colOff>
                    <xdr:row>9</xdr:row>
                    <xdr:rowOff>38100</xdr:rowOff>
                  </from>
                  <to>
                    <xdr:col>3</xdr:col>
                    <xdr:colOff>200025</xdr:colOff>
                    <xdr:row>9</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25"/>
  <sheetViews>
    <sheetView topLeftCell="A13" workbookViewId="0">
      <selection activeCell="E21" sqref="E21"/>
    </sheetView>
  </sheetViews>
  <sheetFormatPr defaultRowHeight="18" x14ac:dyDescent="0.25"/>
  <sheetData>
    <row r="1" spans="1:8" x14ac:dyDescent="0.25">
      <c r="A1" s="3"/>
      <c r="B1" s="2"/>
      <c r="C1" s="2"/>
      <c r="D1" s="2"/>
      <c r="E1" s="2"/>
      <c r="F1" s="2"/>
      <c r="G1" s="2"/>
      <c r="H1" s="2"/>
    </row>
    <row r="2" spans="1:8" x14ac:dyDescent="0.25">
      <c r="A2" s="3"/>
      <c r="B2" s="2"/>
      <c r="C2" s="2"/>
      <c r="D2" s="2"/>
      <c r="E2" s="2"/>
      <c r="F2" s="2"/>
      <c r="G2" s="2"/>
      <c r="H2" s="2"/>
    </row>
    <row r="3" spans="1:8" x14ac:dyDescent="0.25">
      <c r="A3" s="3"/>
      <c r="B3" s="2"/>
      <c r="C3" s="2"/>
      <c r="D3" s="2"/>
      <c r="E3" s="2"/>
      <c r="F3" s="2"/>
      <c r="G3" s="2"/>
      <c r="H3" s="2" t="b">
        <v>1</v>
      </c>
    </row>
    <row r="4" spans="1:8" x14ac:dyDescent="0.25">
      <c r="A4" s="3"/>
      <c r="B4" s="2"/>
      <c r="C4" s="2"/>
      <c r="D4" s="2"/>
      <c r="E4" s="2"/>
      <c r="F4" s="2"/>
      <c r="G4" s="2"/>
      <c r="H4" s="2"/>
    </row>
    <row r="5" spans="1:8" x14ac:dyDescent="0.25">
      <c r="A5" s="3"/>
      <c r="B5" s="2"/>
      <c r="C5" s="2"/>
      <c r="D5" s="2"/>
      <c r="E5" s="2"/>
      <c r="F5" s="2"/>
      <c r="G5" s="2"/>
      <c r="H5" s="2"/>
    </row>
    <row r="6" spans="1:8" x14ac:dyDescent="0.25">
      <c r="A6" s="3"/>
      <c r="B6" s="2"/>
      <c r="C6" s="2"/>
      <c r="D6" s="2"/>
      <c r="E6" s="2"/>
      <c r="F6" s="2"/>
      <c r="G6" s="2"/>
      <c r="H6" s="2"/>
    </row>
    <row r="7" spans="1:8" x14ac:dyDescent="0.25">
      <c r="A7" s="3"/>
      <c r="B7" s="2"/>
      <c r="C7" s="2"/>
      <c r="D7" s="2"/>
      <c r="E7" s="2"/>
      <c r="F7" s="2"/>
      <c r="G7" s="2"/>
      <c r="H7" s="2"/>
    </row>
    <row r="8" spans="1:8" x14ac:dyDescent="0.25">
      <c r="A8" s="3"/>
      <c r="B8" s="2"/>
      <c r="C8" s="2"/>
      <c r="D8" s="2"/>
      <c r="E8" s="2"/>
      <c r="F8" s="2"/>
      <c r="G8" s="2"/>
      <c r="H8" s="2"/>
    </row>
    <row r="9" spans="1:8" x14ac:dyDescent="0.25">
      <c r="A9" s="3"/>
      <c r="B9" s="2"/>
      <c r="C9" s="2"/>
      <c r="D9" s="2"/>
      <c r="E9" s="2"/>
      <c r="F9" s="2"/>
      <c r="G9" s="2"/>
      <c r="H9" s="2"/>
    </row>
    <row r="10" spans="1:8" x14ac:dyDescent="0.25">
      <c r="A10" s="3"/>
      <c r="B10" s="2"/>
      <c r="C10" s="2"/>
      <c r="D10" s="2"/>
      <c r="E10" s="2"/>
      <c r="F10" s="2"/>
      <c r="G10" s="2"/>
      <c r="H10" s="2" t="b">
        <v>1</v>
      </c>
    </row>
    <row r="11" spans="1:8" x14ac:dyDescent="0.25">
      <c r="A11" s="3"/>
      <c r="B11" s="2"/>
      <c r="C11" s="2"/>
      <c r="D11" s="2"/>
      <c r="E11" s="2"/>
      <c r="F11" s="2"/>
      <c r="G11" s="2"/>
      <c r="H11" s="2"/>
    </row>
    <row r="12" spans="1:8" x14ac:dyDescent="0.25">
      <c r="A12" s="3"/>
      <c r="B12" s="2"/>
      <c r="C12" s="2"/>
      <c r="D12" s="2"/>
      <c r="E12" s="2"/>
      <c r="F12" s="2"/>
      <c r="G12" s="2"/>
      <c r="H12" s="2" t="b">
        <v>1</v>
      </c>
    </row>
    <row r="13" spans="1:8" x14ac:dyDescent="0.25">
      <c r="A13" s="3"/>
      <c r="B13" s="2"/>
      <c r="C13" s="2"/>
      <c r="D13" s="2"/>
      <c r="E13" s="2"/>
      <c r="F13" s="2"/>
      <c r="G13" s="2"/>
      <c r="H13" s="2"/>
    </row>
    <row r="14" spans="1:8" x14ac:dyDescent="0.25">
      <c r="A14" s="3"/>
      <c r="B14" s="2"/>
      <c r="C14" s="2"/>
      <c r="D14" s="2"/>
      <c r="E14" s="2"/>
      <c r="F14" s="2"/>
      <c r="G14" s="2"/>
      <c r="H14" s="2" t="b">
        <v>1</v>
      </c>
    </row>
    <row r="125" spans="8:8" x14ac:dyDescent="0.25">
      <c r="H125" t="b">
        <v>0</v>
      </c>
    </row>
  </sheetData>
  <phoneticPr fontId="2"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0</xdr:col>
                    <xdr:colOff>447675</xdr:colOff>
                    <xdr:row>1</xdr:row>
                    <xdr:rowOff>47625</xdr:rowOff>
                  </from>
                  <to>
                    <xdr:col>5</xdr:col>
                    <xdr:colOff>895350</xdr:colOff>
                    <xdr:row>2</xdr:row>
                    <xdr:rowOff>76200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0</xdr:col>
                    <xdr:colOff>457200</xdr:colOff>
                    <xdr:row>3</xdr:row>
                    <xdr:rowOff>95250</xdr:rowOff>
                  </from>
                  <to>
                    <xdr:col>6</xdr:col>
                    <xdr:colOff>28575</xdr:colOff>
                    <xdr:row>4</xdr:row>
                    <xdr:rowOff>114300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457200</xdr:colOff>
                    <xdr:row>5</xdr:row>
                    <xdr:rowOff>95250</xdr:rowOff>
                  </from>
                  <to>
                    <xdr:col>6</xdr:col>
                    <xdr:colOff>57150</xdr:colOff>
                    <xdr:row>6</xdr:row>
                    <xdr:rowOff>85725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447675</xdr:colOff>
                    <xdr:row>7</xdr:row>
                    <xdr:rowOff>104775</xdr:rowOff>
                  </from>
                  <to>
                    <xdr:col>6</xdr:col>
                    <xdr:colOff>66675</xdr:colOff>
                    <xdr:row>8</xdr:row>
                    <xdr:rowOff>95250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447675</xdr:colOff>
                    <xdr:row>9</xdr:row>
                    <xdr:rowOff>104775</xdr:rowOff>
                  </from>
                  <to>
                    <xdr:col>6</xdr:col>
                    <xdr:colOff>19050</xdr:colOff>
                    <xdr:row>10</xdr:row>
                    <xdr:rowOff>95250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438150</xdr:colOff>
                    <xdr:row>11</xdr:row>
                    <xdr:rowOff>114300</xdr:rowOff>
                  </from>
                  <to>
                    <xdr:col>6</xdr:col>
                    <xdr:colOff>57150</xdr:colOff>
                    <xdr:row>12</xdr:row>
                    <xdr:rowOff>104775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485775</xdr:colOff>
                    <xdr:row>19</xdr:row>
                    <xdr:rowOff>209550</xdr:rowOff>
                  </from>
                  <to>
                    <xdr:col>3</xdr:col>
                    <xdr:colOff>514350</xdr:colOff>
                    <xdr:row>20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8" x14ac:dyDescent="0.25"/>
  <sheetData>
    <row r="1" spans="1:5" x14ac:dyDescent="0.25">
      <c r="A1" t="s">
        <v>146</v>
      </c>
      <c r="B1" t="s">
        <v>167</v>
      </c>
      <c r="C1" t="s">
        <v>155</v>
      </c>
      <c r="D1" t="s">
        <v>179</v>
      </c>
      <c r="E1" t="s">
        <v>208</v>
      </c>
    </row>
    <row r="2" spans="1:5" x14ac:dyDescent="0.25">
      <c r="A2" t="s">
        <v>147</v>
      </c>
      <c r="C2" t="s">
        <v>156</v>
      </c>
    </row>
    <row r="3" spans="1:5" x14ac:dyDescent="0.25">
      <c r="A3" t="s">
        <v>148</v>
      </c>
      <c r="B3" t="s">
        <v>149</v>
      </c>
      <c r="C3" t="s">
        <v>157</v>
      </c>
    </row>
    <row r="4" spans="1:5" x14ac:dyDescent="0.25">
      <c r="A4" t="s">
        <v>150</v>
      </c>
      <c r="B4" t="s">
        <v>168</v>
      </c>
      <c r="C4" t="s">
        <v>158</v>
      </c>
    </row>
    <row r="5" spans="1:5" x14ac:dyDescent="0.25">
      <c r="A5" t="s">
        <v>151</v>
      </c>
      <c r="B5" t="s">
        <v>152</v>
      </c>
      <c r="C5" t="s">
        <v>159</v>
      </c>
    </row>
    <row r="6" spans="1:5" x14ac:dyDescent="0.25">
      <c r="A6" t="s">
        <v>153</v>
      </c>
      <c r="B6" t="s">
        <v>154</v>
      </c>
      <c r="C6" t="s">
        <v>160</v>
      </c>
    </row>
    <row r="7" spans="1:5" x14ac:dyDescent="0.25">
      <c r="A7" t="s">
        <v>165</v>
      </c>
      <c r="B7" t="s">
        <v>166</v>
      </c>
      <c r="C7" t="s">
        <v>161</v>
      </c>
    </row>
    <row r="8" spans="1:5" x14ac:dyDescent="0.25">
      <c r="A8" t="s">
        <v>169</v>
      </c>
      <c r="B8" t="s">
        <v>170</v>
      </c>
      <c r="C8" t="s">
        <v>162</v>
      </c>
    </row>
    <row r="9" spans="1:5" x14ac:dyDescent="0.25">
      <c r="A9" t="s">
        <v>171</v>
      </c>
      <c r="B9" t="s">
        <v>172</v>
      </c>
      <c r="C9" t="s">
        <v>163</v>
      </c>
    </row>
    <row r="10" spans="1:5" x14ac:dyDescent="0.25">
      <c r="A10" t="s">
        <v>175</v>
      </c>
      <c r="B10" t="s">
        <v>176</v>
      </c>
      <c r="C10" t="s">
        <v>164</v>
      </c>
    </row>
    <row r="11" spans="1:5" x14ac:dyDescent="0.25">
      <c r="A11" t="s">
        <v>197</v>
      </c>
      <c r="B11" t="s">
        <v>198</v>
      </c>
    </row>
    <row r="12" spans="1:5" x14ac:dyDescent="0.25">
      <c r="A12" t="s">
        <v>213</v>
      </c>
      <c r="B12" t="s">
        <v>215</v>
      </c>
    </row>
    <row r="13" spans="1:5" x14ac:dyDescent="0.25">
      <c r="A13" t="s">
        <v>218</v>
      </c>
      <c r="B13"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RowHeight="18" x14ac:dyDescent="0.25"/>
  <cols>
    <col min="1" max="2" width="30.08984375" bestFit="1" customWidth="1"/>
    <col min="3" max="3" width="9.54296875" bestFit="1" customWidth="1"/>
  </cols>
  <sheetData>
    <row r="1" spans="1:3" x14ac:dyDescent="0.25">
      <c r="A1" s="307" t="s">
        <v>212</v>
      </c>
      <c r="B1" s="307" t="s">
        <v>212</v>
      </c>
      <c r="C1" s="307" t="s">
        <v>46</v>
      </c>
    </row>
    <row r="2" spans="1:3" x14ac:dyDescent="0.25">
      <c r="A2" s="307" t="s">
        <v>214</v>
      </c>
      <c r="B2" s="307" t="s">
        <v>214</v>
      </c>
      <c r="C2" s="307"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topLeftCell="A16" workbookViewId="0">
      <selection activeCell="E21" sqref="E21"/>
    </sheetView>
  </sheetViews>
  <sheetFormatPr defaultRowHeight="11.25" x14ac:dyDescent="0.2"/>
  <cols>
    <col min="1" max="1" width="2.26953125" style="429" bestFit="1" customWidth="1"/>
    <col min="2" max="2" width="2.26953125" style="429" customWidth="1"/>
    <col min="3" max="3" width="34.7265625" style="545" customWidth="1"/>
    <col min="4" max="4" width="10.453125" style="435" customWidth="1"/>
    <col min="5" max="5" width="8" style="435" customWidth="1"/>
    <col min="6" max="6" width="8.26953125" style="435" customWidth="1"/>
    <col min="7" max="7" width="9.26953125" style="435" customWidth="1"/>
    <col min="8" max="12" width="8.7265625" style="435" hidden="1" customWidth="1"/>
    <col min="13" max="13" width="6.26953125" style="435" hidden="1" customWidth="1"/>
    <col min="14" max="16" width="8.7265625" style="435" hidden="1" customWidth="1"/>
    <col min="17" max="19" width="0" style="435" hidden="1" customWidth="1"/>
    <col min="20" max="16384" width="8.7265625" style="435"/>
  </cols>
  <sheetData>
    <row r="1" spans="1:9" ht="42" thickBot="1" x14ac:dyDescent="0.35">
      <c r="A1" s="429">
        <v>1</v>
      </c>
      <c r="B1" s="430"/>
      <c r="C1" s="431" t="s">
        <v>224</v>
      </c>
      <c r="D1" s="432" t="str">
        <f>IF(G40=0,"Fill out online to calculate Shipping!","Please ONLY send the DEPOSIT!")</f>
        <v>Fill out online to calculate Shipping!</v>
      </c>
      <c r="E1" s="433"/>
      <c r="F1" s="433"/>
      <c r="G1" s="434"/>
    </row>
    <row r="2" spans="1:9" ht="39.75" thickBot="1" x14ac:dyDescent="0.3">
      <c r="A2" s="429">
        <v>2</v>
      </c>
      <c r="C2" s="436" t="s">
        <v>122</v>
      </c>
      <c r="D2" s="437" t="s">
        <v>225</v>
      </c>
      <c r="E2" s="438"/>
      <c r="F2" s="439" t="s">
        <v>226</v>
      </c>
      <c r="G2" s="440">
        <f>G41</f>
        <v>0</v>
      </c>
    </row>
    <row r="3" spans="1:9" ht="15.75" thickBot="1" x14ac:dyDescent="0.3">
      <c r="A3" s="429">
        <v>3</v>
      </c>
      <c r="C3" s="436"/>
      <c r="D3" s="441" t="str">
        <f>IF(C31="YES. Crop image to fit print size.","YES. Crop my images to fit print size.","Don't Crop. White on two sides of prints.")</f>
        <v>YES. Crop my images to fit print size.</v>
      </c>
      <c r="E3" s="442"/>
      <c r="F3" s="442"/>
      <c r="G3" s="443"/>
    </row>
    <row r="4" spans="1:9" ht="28.5" customHeight="1" x14ac:dyDescent="0.4">
      <c r="A4" s="429">
        <v>4</v>
      </c>
      <c r="C4" s="444" t="s">
        <v>227</v>
      </c>
      <c r="D4" s="445" t="str">
        <f>IF(AND(G23&gt;0, E5=""),"Please Select option for Prints","")</f>
        <v/>
      </c>
      <c r="E4" s="446"/>
      <c r="F4" s="446"/>
      <c r="G4" s="447" t="str">
        <f>IF(G37&gt;0,"Sig.","")</f>
        <v/>
      </c>
    </row>
    <row r="5" spans="1:9" ht="27" thickBot="1" x14ac:dyDescent="0.45">
      <c r="A5" s="429">
        <v>5</v>
      </c>
      <c r="C5" s="448" t="s">
        <v>228</v>
      </c>
      <c r="D5" s="449" t="str">
        <f>IF(D20=0,"","$1 scans")</f>
        <v/>
      </c>
      <c r="E5" s="450" t="str">
        <f>IF(G31&gt;0,SUM(D26:D29),"")</f>
        <v/>
      </c>
      <c r="F5" s="451" t="str">
        <f>IF(G31&gt;0,"PRTS","")</f>
        <v/>
      </c>
      <c r="G5" s="452" t="str">
        <f>IF(E32=TRUE,"RUSH","")</f>
        <v/>
      </c>
    </row>
    <row r="6" spans="1:9" ht="23.25" customHeight="1" thickBot="1" x14ac:dyDescent="0.3">
      <c r="A6" s="429">
        <v>6</v>
      </c>
      <c r="C6" s="453" t="str">
        <f>IF(C31="YES. Crop image to fit print size.","YES. Crop my images to fit print size.","Don't Crop. White on two sides of prints.")</f>
        <v>YES. Crop my images to fit print size.</v>
      </c>
      <c r="D6" s="454" t="str">
        <f>IF(D26&gt;0,"4x6","")</f>
        <v/>
      </c>
      <c r="E6" s="454" t="str">
        <f>IF(D27&gt;0,"5x7","")</f>
        <v/>
      </c>
      <c r="F6" s="454" t="str">
        <f>IF(D28&gt;0,"8x10","")</f>
        <v/>
      </c>
      <c r="G6" s="454" t="str">
        <f>IF(D29&gt;0,"10x15","")</f>
        <v/>
      </c>
    </row>
    <row r="7" spans="1:9" ht="29.25" customHeight="1" thickBot="1" x14ac:dyDescent="0.25">
      <c r="A7" s="429">
        <v>7</v>
      </c>
      <c r="C7" s="455" t="s">
        <v>115</v>
      </c>
      <c r="D7" s="456" t="str">
        <f>IF(D26&gt;0,D26,"")</f>
        <v/>
      </c>
      <c r="E7" s="457" t="str">
        <f>IF(D27&gt;0,D27,"")</f>
        <v/>
      </c>
      <c r="F7" s="457" t="str">
        <f>IF(D28&gt;0,D28,"")</f>
        <v/>
      </c>
      <c r="G7" s="457" t="str">
        <f>IF(D29&gt;0,D29,"")</f>
        <v/>
      </c>
      <c r="I7" s="19"/>
    </row>
    <row r="8" spans="1:9" ht="15.75" customHeight="1" x14ac:dyDescent="0.25">
      <c r="A8" s="429">
        <v>8</v>
      </c>
      <c r="C8" s="458"/>
      <c r="D8" s="459" t="s">
        <v>181</v>
      </c>
      <c r="E8" s="460" t="s">
        <v>48</v>
      </c>
      <c r="F8" s="460"/>
      <c r="G8" s="461"/>
    </row>
    <row r="9" spans="1:9" ht="12" x14ac:dyDescent="0.2">
      <c r="A9" s="429">
        <v>9</v>
      </c>
      <c r="C9" s="462"/>
      <c r="D9" s="463" t="s">
        <v>182</v>
      </c>
      <c r="E9" s="464" t="s">
        <v>10</v>
      </c>
      <c r="F9" s="465"/>
      <c r="G9" s="466"/>
    </row>
    <row r="10" spans="1:9" ht="27" customHeight="1" thickBot="1" x14ac:dyDescent="0.3">
      <c r="A10" s="429">
        <v>10</v>
      </c>
      <c r="C10" s="467"/>
      <c r="D10" s="468" t="s">
        <v>183</v>
      </c>
      <c r="E10" s="469" t="s">
        <v>229</v>
      </c>
      <c r="F10" s="470"/>
      <c r="G10" s="471"/>
    </row>
    <row r="11" spans="1:9" ht="27" customHeight="1" x14ac:dyDescent="0.2">
      <c r="A11" s="429">
        <v>11</v>
      </c>
      <c r="C11" s="472" t="s">
        <v>93</v>
      </c>
      <c r="D11" s="296" t="s">
        <v>91</v>
      </c>
      <c r="E11" s="473" t="s">
        <v>230</v>
      </c>
      <c r="F11" s="474"/>
      <c r="G11" s="475"/>
    </row>
    <row r="12" spans="1:9" ht="23.25" thickBot="1" x14ac:dyDescent="0.25">
      <c r="A12" s="429">
        <v>12</v>
      </c>
      <c r="C12" s="476" t="s">
        <v>92</v>
      </c>
      <c r="D12" s="298" t="s">
        <v>231</v>
      </c>
      <c r="E12" s="477" t="s">
        <v>232</v>
      </c>
      <c r="F12" s="478"/>
      <c r="G12" s="479"/>
    </row>
    <row r="13" spans="1:9" ht="14.25" customHeight="1" x14ac:dyDescent="0.25">
      <c r="A13" s="429">
        <v>13</v>
      </c>
      <c r="C13" s="458"/>
      <c r="D13" s="459" t="s">
        <v>180</v>
      </c>
      <c r="E13" s="480" t="s">
        <v>48</v>
      </c>
      <c r="F13" s="481"/>
      <c r="G13" s="482"/>
    </row>
    <row r="14" spans="1:9" ht="14.25" customHeight="1" thickBot="1" x14ac:dyDescent="0.25">
      <c r="A14" s="429">
        <v>14</v>
      </c>
      <c r="C14" s="467"/>
      <c r="D14" s="468" t="s">
        <v>193</v>
      </c>
      <c r="E14" s="464" t="s">
        <v>111</v>
      </c>
      <c r="F14" s="465"/>
      <c r="G14" s="466"/>
    </row>
    <row r="15" spans="1:9" ht="14.25" customHeight="1" thickBot="1" x14ac:dyDescent="0.25">
      <c r="A15" s="429">
        <v>15</v>
      </c>
      <c r="C15" s="483" t="s">
        <v>233</v>
      </c>
      <c r="D15" s="484"/>
      <c r="E15" s="485" t="s">
        <v>40</v>
      </c>
      <c r="F15" s="486"/>
      <c r="G15" s="487"/>
    </row>
    <row r="16" spans="1:9" ht="23.25" customHeight="1" thickBot="1" x14ac:dyDescent="0.25">
      <c r="A16" s="429">
        <v>16</v>
      </c>
      <c r="C16" s="488"/>
      <c r="D16" s="489">
        <f ca="1">NOW()</f>
        <v>42276.535192824071</v>
      </c>
      <c r="E16" s="490" t="s">
        <v>116</v>
      </c>
      <c r="F16" s="491"/>
      <c r="G16" s="492"/>
    </row>
    <row r="17" spans="1:14" ht="23.25" customHeight="1" thickBot="1" x14ac:dyDescent="0.3">
      <c r="A17" s="429">
        <v>17</v>
      </c>
      <c r="C17" s="493" t="s">
        <v>234</v>
      </c>
      <c r="D17" s="494"/>
      <c r="E17" s="494"/>
      <c r="F17" s="494"/>
      <c r="G17" s="495"/>
    </row>
    <row r="18" spans="1:14" ht="13.5" customHeight="1" thickBot="1" x14ac:dyDescent="0.3">
      <c r="A18" s="429">
        <v>18</v>
      </c>
      <c r="C18" s="496" t="s">
        <v>235</v>
      </c>
      <c r="D18" s="497"/>
      <c r="E18" s="498" t="s">
        <v>236</v>
      </c>
      <c r="F18" s="499"/>
      <c r="G18" s="500"/>
    </row>
    <row r="19" spans="1:14" ht="61.5" customHeight="1" thickBot="1" x14ac:dyDescent="0.25">
      <c r="A19" s="429">
        <v>19</v>
      </c>
      <c r="C19" s="501" t="s">
        <v>237</v>
      </c>
      <c r="D19" s="502">
        <v>0</v>
      </c>
      <c r="E19" s="503"/>
      <c r="F19" s="504">
        <v>0.39</v>
      </c>
      <c r="G19" s="229">
        <f>IF(D19=0,0,D19*F19)</f>
        <v>0</v>
      </c>
      <c r="H19" s="505"/>
    </row>
    <row r="20" spans="1:14" ht="61.5" customHeight="1" thickBot="1" x14ac:dyDescent="0.25">
      <c r="A20" s="429">
        <v>20</v>
      </c>
      <c r="C20" s="506" t="s">
        <v>238</v>
      </c>
      <c r="D20" s="502">
        <v>0</v>
      </c>
      <c r="E20" s="503"/>
      <c r="F20" s="504">
        <v>1</v>
      </c>
      <c r="G20" s="229">
        <f>IF(D20=0,0,D20*F20)</f>
        <v>0</v>
      </c>
      <c r="H20" s="505"/>
    </row>
    <row r="21" spans="1:14" ht="57" thickBot="1" x14ac:dyDescent="0.25">
      <c r="A21" s="429">
        <v>21</v>
      </c>
      <c r="C21" s="207" t="s">
        <v>239</v>
      </c>
      <c r="D21" s="507">
        <v>0</v>
      </c>
      <c r="E21" s="503"/>
      <c r="F21" s="504">
        <v>1</v>
      </c>
      <c r="G21" s="229">
        <f>IF(D21=0,0,D21*F21)</f>
        <v>0</v>
      </c>
      <c r="H21" s="505"/>
    </row>
    <row r="22" spans="1:14" ht="15.75" customHeight="1" x14ac:dyDescent="0.2">
      <c r="A22" s="429">
        <v>22</v>
      </c>
      <c r="C22" s="508" t="s">
        <v>240</v>
      </c>
      <c r="D22" s="509"/>
      <c r="E22" s="509"/>
      <c r="F22" s="510"/>
      <c r="G22" s="511">
        <f>SUM(G19:G21)</f>
        <v>0</v>
      </c>
    </row>
    <row r="23" spans="1:14" ht="12" thickBot="1" x14ac:dyDescent="0.25">
      <c r="A23" s="429">
        <v>23</v>
      </c>
      <c r="C23" s="512" t="s">
        <v>34</v>
      </c>
      <c r="D23" s="513" t="s">
        <v>38</v>
      </c>
      <c r="E23" s="514">
        <f>SUM(D19:D21)</f>
        <v>0</v>
      </c>
      <c r="F23" s="515" t="s">
        <v>29</v>
      </c>
      <c r="G23" s="516">
        <f>IF(SUM(G22:G22)=0,0,IF(SUM(G22:G22)&lt;20,20,SUM(G22:G22)))</f>
        <v>0</v>
      </c>
    </row>
    <row r="24" spans="1:14" ht="18" x14ac:dyDescent="0.25">
      <c r="A24" s="429">
        <v>24</v>
      </c>
      <c r="C24" s="493" t="s">
        <v>241</v>
      </c>
      <c r="D24" s="494"/>
      <c r="E24" s="494"/>
      <c r="F24" s="494"/>
      <c r="G24" s="495"/>
    </row>
    <row r="25" spans="1:14" ht="33.75" x14ac:dyDescent="0.2">
      <c r="A25" s="429">
        <v>25</v>
      </c>
      <c r="C25" s="517" t="s">
        <v>6</v>
      </c>
      <c r="D25" s="518" t="s">
        <v>47</v>
      </c>
      <c r="E25" s="519" t="s">
        <v>41</v>
      </c>
      <c r="F25" s="520" t="str">
        <f>IF(G23=0,"Please Fill in lines 18-20 First","")</f>
        <v>Please Fill in lines 18-20 First</v>
      </c>
      <c r="G25" s="521"/>
    </row>
    <row r="26" spans="1:14" ht="11.25" customHeight="1" x14ac:dyDescent="0.2">
      <c r="A26" s="429">
        <v>26</v>
      </c>
      <c r="C26" s="522" t="s">
        <v>31</v>
      </c>
      <c r="D26" s="523">
        <v>0</v>
      </c>
      <c r="E26" s="524" t="str">
        <f>IF(G23=0,"Please Fill","")</f>
        <v>Please Fill</v>
      </c>
      <c r="F26" s="504">
        <v>0.54</v>
      </c>
      <c r="G26" s="525">
        <f>F26*D26</f>
        <v>0</v>
      </c>
    </row>
    <row r="27" spans="1:14" x14ac:dyDescent="0.2">
      <c r="A27" s="429">
        <v>27</v>
      </c>
      <c r="C27" s="522" t="s">
        <v>32</v>
      </c>
      <c r="D27" s="523">
        <v>0</v>
      </c>
      <c r="E27" s="524" t="str">
        <f>IF(G23=0,"in lines","")</f>
        <v>in lines</v>
      </c>
      <c r="F27" s="504">
        <v>1.99</v>
      </c>
      <c r="G27" s="525">
        <f>F27*D27</f>
        <v>0</v>
      </c>
    </row>
    <row r="28" spans="1:14" x14ac:dyDescent="0.2">
      <c r="A28" s="429">
        <v>28</v>
      </c>
      <c r="C28" s="522" t="s">
        <v>187</v>
      </c>
      <c r="D28" s="523">
        <v>0</v>
      </c>
      <c r="E28" s="524" t="str">
        <f>IF(G23=0,"18-20 First","")</f>
        <v>18-20 First</v>
      </c>
      <c r="F28" s="504">
        <v>4.49</v>
      </c>
      <c r="G28" s="525">
        <f>F28*D28</f>
        <v>0</v>
      </c>
    </row>
    <row r="29" spans="1:14" ht="12" thickBot="1" x14ac:dyDescent="0.25">
      <c r="A29" s="429">
        <v>29</v>
      </c>
      <c r="C29" s="522" t="s">
        <v>209</v>
      </c>
      <c r="D29" s="526">
        <v>0</v>
      </c>
      <c r="E29" s="527"/>
      <c r="F29" s="504">
        <v>7.49</v>
      </c>
      <c r="G29" s="525">
        <f>F29*D29</f>
        <v>0</v>
      </c>
    </row>
    <row r="30" spans="1:14" ht="17.25" customHeight="1" x14ac:dyDescent="0.25">
      <c r="A30" s="429">
        <v>30</v>
      </c>
      <c r="C30" s="493" t="s">
        <v>242</v>
      </c>
      <c r="D30" s="494"/>
      <c r="F30" s="504"/>
      <c r="G30" s="525"/>
    </row>
    <row r="31" spans="1:14" ht="18" customHeight="1" thickBot="1" x14ac:dyDescent="0.25">
      <c r="A31" s="429">
        <v>31</v>
      </c>
      <c r="C31" s="528" t="s">
        <v>212</v>
      </c>
      <c r="D31" s="529"/>
      <c r="E31" s="530"/>
      <c r="F31" s="531" t="s">
        <v>29</v>
      </c>
      <c r="G31" s="532">
        <f>IF(SUM(G26:G29)=0,0,IF(SUM(G26:G29)&lt;=10,10,SUM(G26:G29)))</f>
        <v>0</v>
      </c>
      <c r="I31" s="533"/>
    </row>
    <row r="32" spans="1:14" ht="33.75" customHeight="1" thickBot="1" x14ac:dyDescent="0.25">
      <c r="A32" s="429">
        <v>32</v>
      </c>
      <c r="C32" s="534" t="s">
        <v>110</v>
      </c>
      <c r="D32" s="535"/>
      <c r="E32" s="536" t="b">
        <v>0</v>
      </c>
      <c r="F32" s="537">
        <v>1.5</v>
      </c>
      <c r="G32" s="538">
        <f>IF(E32=TRUE,(G23+G31)/2,0)</f>
        <v>0</v>
      </c>
      <c r="N32" s="435" t="str">
        <f>+A6-A5&amp;" days"</f>
        <v>1 days</v>
      </c>
    </row>
    <row r="33" spans="1:17" ht="12" thickBot="1" x14ac:dyDescent="0.25">
      <c r="A33" s="429">
        <v>33</v>
      </c>
      <c r="C33" s="539"/>
      <c r="D33" s="540"/>
      <c r="E33" s="541"/>
      <c r="F33" s="542" t="s">
        <v>29</v>
      </c>
      <c r="G33" s="543">
        <f>(G32+G31+G23)</f>
        <v>0</v>
      </c>
      <c r="M33" s="544" t="s">
        <v>64</v>
      </c>
      <c r="N33" s="510" t="s">
        <v>46</v>
      </c>
    </row>
    <row r="34" spans="1:17" ht="15.75" customHeight="1" x14ac:dyDescent="0.2">
      <c r="A34" s="429">
        <v>34</v>
      </c>
      <c r="H34" s="546"/>
      <c r="I34" s="547" t="s">
        <v>103</v>
      </c>
      <c r="J34" s="547" t="s">
        <v>102</v>
      </c>
      <c r="K34" s="547" t="s">
        <v>101</v>
      </c>
      <c r="L34" s="547" t="s">
        <v>46</v>
      </c>
      <c r="M34" s="548" t="s">
        <v>104</v>
      </c>
      <c r="N34" s="549" t="s">
        <v>44</v>
      </c>
    </row>
    <row r="35" spans="1:17" ht="18.75" thickBot="1" x14ac:dyDescent="0.25">
      <c r="A35" s="429">
        <v>35</v>
      </c>
      <c r="C35" s="550" t="s">
        <v>3</v>
      </c>
      <c r="D35" s="551"/>
      <c r="E35" s="552" t="s">
        <v>243</v>
      </c>
      <c r="F35" s="553" t="s">
        <v>46</v>
      </c>
      <c r="G35" s="80">
        <f>IF(F35="Pickup",0,H35)</f>
        <v>0</v>
      </c>
      <c r="H35" s="554">
        <f>SUM(I35+J35+K35)</f>
        <v>0</v>
      </c>
      <c r="I35" s="68">
        <f>IF(G31=0,0,IF(G31&lt;20,1.9,IF(G31&lt;50,2.4,IF(G31&lt;101,2.9,IF(G31&lt;201,3.5,IF(G31&lt;301,4.4,IF(G31&lt;401,5.4,IF(G31&lt;501,6.4,"7.4"))))))))</f>
        <v>0</v>
      </c>
      <c r="J35" s="68">
        <v>0</v>
      </c>
      <c r="K35" s="69">
        <f>IF(G33=0,0,IF(F35="Local Pickup",0,IF(F35="Priority Mail",IF(G23&lt;=39,L35,L35+(G23*M35)))))</f>
        <v>0</v>
      </c>
      <c r="L35" s="70">
        <v>7.25</v>
      </c>
      <c r="M35" s="555">
        <v>0.03</v>
      </c>
      <c r="N35" s="556">
        <v>9</v>
      </c>
      <c r="O35" s="557"/>
      <c r="P35" s="557"/>
      <c r="Q35" s="557"/>
    </row>
    <row r="36" spans="1:17" ht="14.25" x14ac:dyDescent="0.2">
      <c r="A36" s="429">
        <v>36</v>
      </c>
      <c r="C36" s="558" t="s">
        <v>244</v>
      </c>
      <c r="D36" s="559"/>
      <c r="E36" s="560"/>
      <c r="F36" s="561"/>
      <c r="G36" s="80"/>
      <c r="H36" s="73"/>
      <c r="I36" s="73"/>
      <c r="J36" s="73"/>
      <c r="K36" s="74"/>
      <c r="L36" s="75"/>
      <c r="M36" s="510"/>
      <c r="N36" s="556"/>
      <c r="O36" s="557"/>
      <c r="P36" s="557"/>
      <c r="Q36" s="557"/>
    </row>
    <row r="37" spans="1:17" ht="39" customHeight="1" thickBot="1" x14ac:dyDescent="0.25">
      <c r="A37" s="429">
        <v>37</v>
      </c>
      <c r="C37" s="562" t="s">
        <v>113</v>
      </c>
      <c r="D37" s="563"/>
      <c r="E37" s="564" t="b">
        <v>0</v>
      </c>
      <c r="F37" s="565">
        <v>3.5</v>
      </c>
      <c r="G37" s="566">
        <f>IF(E37=TRUE,F37,0)</f>
        <v>0</v>
      </c>
      <c r="H37" s="73"/>
      <c r="I37" s="73"/>
      <c r="J37" s="73"/>
      <c r="K37" s="118" t="s">
        <v>245</v>
      </c>
      <c r="L37" s="75"/>
      <c r="M37" s="510"/>
      <c r="N37" s="556"/>
      <c r="O37" s="557"/>
      <c r="P37" s="557"/>
      <c r="Q37" s="557"/>
    </row>
    <row r="38" spans="1:17" ht="18.75" thickBot="1" x14ac:dyDescent="0.25">
      <c r="A38" s="429">
        <v>38</v>
      </c>
      <c r="C38" s="567"/>
      <c r="D38" s="568"/>
      <c r="E38" s="569"/>
      <c r="F38" s="542" t="s">
        <v>29</v>
      </c>
      <c r="G38" s="570">
        <f>SUM(G33:G37)</f>
        <v>0</v>
      </c>
      <c r="H38" s="73"/>
      <c r="I38" s="73"/>
      <c r="J38" s="73"/>
      <c r="K38" s="74"/>
      <c r="L38" s="75"/>
      <c r="M38" s="510"/>
      <c r="N38" s="556"/>
      <c r="O38" s="557"/>
      <c r="P38" s="557"/>
      <c r="Q38" s="557"/>
    </row>
    <row r="39" spans="1:17" ht="20.25" customHeight="1" thickBot="1" x14ac:dyDescent="0.25">
      <c r="A39" s="429">
        <v>39</v>
      </c>
      <c r="C39" s="571" t="s">
        <v>30</v>
      </c>
      <c r="D39" s="571" t="s">
        <v>191</v>
      </c>
      <c r="E39" s="572" t="b">
        <v>0</v>
      </c>
      <c r="F39" s="573"/>
      <c r="G39" s="574">
        <f>IF(E39=TRUE,G38*0.055,0)</f>
        <v>0</v>
      </c>
      <c r="H39" s="557"/>
      <c r="I39" s="556"/>
      <c r="J39" s="575"/>
      <c r="K39" s="556"/>
      <c r="L39" s="510"/>
      <c r="M39" s="557"/>
      <c r="N39" s="557"/>
      <c r="O39" s="557"/>
      <c r="P39" s="557"/>
      <c r="Q39" s="557"/>
    </row>
    <row r="40" spans="1:17" ht="21" customHeight="1" thickBot="1" x14ac:dyDescent="0.3">
      <c r="A40" s="429">
        <v>40</v>
      </c>
      <c r="C40" s="576" t="s">
        <v>246</v>
      </c>
      <c r="D40" s="577"/>
      <c r="E40" s="577"/>
      <c r="F40" s="577"/>
      <c r="G40" s="117">
        <f>SUM(G38:G39)</f>
        <v>0</v>
      </c>
    </row>
    <row r="41" spans="1:17" ht="18" x14ac:dyDescent="0.2">
      <c r="A41" s="429">
        <v>41</v>
      </c>
      <c r="C41" s="578" t="s">
        <v>247</v>
      </c>
      <c r="D41" s="579"/>
      <c r="E41" s="580" t="s">
        <v>248</v>
      </c>
      <c r="F41" s="581"/>
      <c r="G41" s="582">
        <f>IF(E32=TRUE,G40,((G40/2)))</f>
        <v>0</v>
      </c>
      <c r="H41" s="557"/>
      <c r="I41" s="557"/>
      <c r="J41" s="557"/>
      <c r="K41" s="557"/>
      <c r="L41" s="557"/>
      <c r="M41" s="557"/>
      <c r="N41" s="557"/>
      <c r="O41" s="557"/>
      <c r="P41" s="557"/>
      <c r="Q41" s="557"/>
    </row>
    <row r="42" spans="1:17" ht="23.25" customHeight="1" thickBot="1" x14ac:dyDescent="0.25">
      <c r="A42" s="429">
        <v>42</v>
      </c>
      <c r="C42" s="583" t="s">
        <v>42</v>
      </c>
      <c r="D42" s="584" t="s">
        <v>33</v>
      </c>
      <c r="E42" s="585"/>
      <c r="F42" s="586"/>
      <c r="G42" s="587">
        <f>IF(E32=TRUE,0,(G40-G41))</f>
        <v>0</v>
      </c>
    </row>
    <row r="43" spans="1:17" ht="60" customHeight="1" thickBot="1" x14ac:dyDescent="0.25">
      <c r="A43" s="429">
        <v>43</v>
      </c>
      <c r="C43" s="588" t="s">
        <v>56</v>
      </c>
      <c r="D43" s="589" t="s">
        <v>11</v>
      </c>
      <c r="E43" s="590"/>
      <c r="F43" s="591" t="s">
        <v>249</v>
      </c>
      <c r="G43" s="590"/>
    </row>
    <row r="44" spans="1:17" ht="16.5" customHeight="1" x14ac:dyDescent="0.25">
      <c r="A44" s="429">
        <v>44</v>
      </c>
      <c r="C44" s="592" t="s">
        <v>59</v>
      </c>
      <c r="D44" s="593"/>
      <c r="E44" s="594"/>
      <c r="F44" s="595">
        <f ca="1">NOW()</f>
        <v>42276.535192824071</v>
      </c>
      <c r="G44" s="596"/>
    </row>
    <row r="45" spans="1:17" ht="21.75" customHeight="1" thickBot="1" x14ac:dyDescent="0.3">
      <c r="A45" s="429">
        <v>45</v>
      </c>
      <c r="C45" s="597" t="s">
        <v>70</v>
      </c>
      <c r="D45" s="598"/>
      <c r="E45" s="599"/>
      <c r="F45" s="540"/>
      <c r="G45" s="600"/>
    </row>
    <row r="46" spans="1:17" ht="28.5" customHeight="1" x14ac:dyDescent="0.2">
      <c r="A46" s="429">
        <v>46</v>
      </c>
      <c r="C46" s="601" t="s">
        <v>250</v>
      </c>
      <c r="D46" s="602"/>
      <c r="E46" s="603">
        <f>G41</f>
        <v>0</v>
      </c>
      <c r="F46" s="604"/>
      <c r="G46" s="605"/>
    </row>
    <row r="47" spans="1:17" ht="12.75" customHeight="1" x14ac:dyDescent="0.2">
      <c r="A47" s="429">
        <v>47</v>
      </c>
      <c r="C47" s="606" t="str">
        <f>IF(E32=TRUE,"For RUSH service, you need to send payment as Money Order or", "")</f>
        <v/>
      </c>
      <c r="D47" s="606"/>
      <c r="E47" s="606"/>
      <c r="F47" s="606"/>
      <c r="G47" s="606"/>
    </row>
    <row r="48" spans="1:17" ht="18" x14ac:dyDescent="0.2">
      <c r="A48" s="429">
        <v>48</v>
      </c>
      <c r="C48" s="606" t="str">
        <f>IF(E32=TRUE,"Official Bank Check, or shipment will be delayed as we wait for", "")</f>
        <v/>
      </c>
      <c r="D48" s="606"/>
      <c r="E48" s="606"/>
      <c r="F48" s="606"/>
      <c r="G48" s="606"/>
    </row>
    <row r="49" spans="1:22" ht="33.75" customHeight="1" x14ac:dyDescent="0.2">
      <c r="A49" s="429">
        <v>49</v>
      </c>
      <c r="C49" s="606" t="str">
        <f>IF(E32=TRUE,"your personal check to clear.", "")</f>
        <v/>
      </c>
      <c r="D49" s="606"/>
      <c r="E49" s="606"/>
      <c r="F49" s="606"/>
      <c r="G49" s="606"/>
    </row>
    <row r="50" spans="1:22" ht="34.5" customHeight="1" x14ac:dyDescent="0.2">
      <c r="A50" s="429">
        <v>50</v>
      </c>
      <c r="C50" s="607" t="s">
        <v>251</v>
      </c>
      <c r="D50" s="607"/>
      <c r="E50" s="607"/>
      <c r="F50" s="607"/>
      <c r="G50" s="607"/>
      <c r="I50" s="435" t="s">
        <v>43</v>
      </c>
    </row>
    <row r="51" spans="1:22" ht="25.5" customHeight="1" x14ac:dyDescent="0.2">
      <c r="A51" s="429">
        <v>51</v>
      </c>
      <c r="C51" s="608" t="s">
        <v>252</v>
      </c>
      <c r="D51" s="608"/>
      <c r="E51" s="608"/>
      <c r="F51" s="608"/>
    </row>
    <row r="52" spans="1:22" s="557" customFormat="1" ht="24" customHeight="1" x14ac:dyDescent="0.25">
      <c r="A52" s="429">
        <v>52</v>
      </c>
      <c r="B52" s="429"/>
      <c r="C52" s="609" t="s">
        <v>253</v>
      </c>
      <c r="D52" s="610"/>
      <c r="E52" s="610"/>
      <c r="F52" s="610"/>
      <c r="G52" s="611"/>
      <c r="H52" s="435"/>
      <c r="I52" s="435"/>
      <c r="J52" s="435"/>
      <c r="K52" s="435"/>
      <c r="L52" s="435"/>
      <c r="M52" s="435"/>
      <c r="N52" s="435"/>
      <c r="O52" s="435"/>
      <c r="P52" s="435"/>
      <c r="Q52" s="435"/>
    </row>
    <row r="53" spans="1:22" s="557" customFormat="1" ht="27.75" customHeight="1" x14ac:dyDescent="0.2">
      <c r="A53" s="429"/>
      <c r="B53" s="429"/>
      <c r="C53" s="545"/>
      <c r="D53" s="435"/>
      <c r="E53" s="435"/>
      <c r="F53" s="435"/>
      <c r="G53" s="435"/>
      <c r="H53" s="435"/>
      <c r="I53" s="435"/>
      <c r="J53" s="435"/>
      <c r="K53" s="435"/>
      <c r="L53" s="435"/>
      <c r="M53" s="435"/>
      <c r="N53" s="435"/>
      <c r="O53" s="435"/>
      <c r="P53" s="435"/>
      <c r="Q53" s="435"/>
    </row>
    <row r="54" spans="1:22" s="557" customFormat="1" ht="22.5" customHeight="1" x14ac:dyDescent="0.2">
      <c r="A54" s="429"/>
      <c r="B54" s="429"/>
      <c r="C54" s="545"/>
      <c r="D54" s="435"/>
      <c r="E54" s="435"/>
      <c r="F54" s="435"/>
      <c r="G54" s="435"/>
      <c r="H54" s="435"/>
      <c r="I54" s="435"/>
      <c r="J54" s="435"/>
      <c r="K54" s="435"/>
      <c r="L54" s="435"/>
      <c r="M54" s="435"/>
      <c r="N54" s="435"/>
      <c r="O54" s="435"/>
      <c r="P54" s="435"/>
      <c r="Q54" s="435"/>
    </row>
    <row r="55" spans="1:22" s="557" customFormat="1" x14ac:dyDescent="0.2">
      <c r="A55" s="429"/>
      <c r="B55" s="429"/>
      <c r="C55" s="545"/>
      <c r="D55" s="435"/>
      <c r="E55" s="435"/>
      <c r="F55" s="435"/>
      <c r="G55" s="435"/>
      <c r="H55" s="435"/>
      <c r="I55" s="435"/>
      <c r="J55" s="435"/>
      <c r="K55" s="435"/>
      <c r="L55" s="435"/>
      <c r="M55" s="435"/>
      <c r="N55" s="435"/>
      <c r="O55" s="435"/>
      <c r="P55" s="435"/>
      <c r="Q55" s="435"/>
    </row>
    <row r="56" spans="1:22" s="557" customFormat="1" ht="16.5" customHeight="1" x14ac:dyDescent="0.2">
      <c r="A56" s="429"/>
      <c r="B56" s="429"/>
      <c r="C56" s="545"/>
      <c r="D56" s="435"/>
      <c r="E56" s="435"/>
      <c r="F56" s="435"/>
      <c r="G56" s="435"/>
      <c r="H56" s="435"/>
      <c r="I56" s="435"/>
      <c r="J56" s="435"/>
      <c r="K56" s="435"/>
      <c r="L56" s="435"/>
      <c r="M56" s="435"/>
      <c r="N56" s="435"/>
      <c r="O56" s="435"/>
      <c r="P56" s="435"/>
      <c r="Q56" s="435"/>
    </row>
    <row r="58" spans="1:22" s="557" customFormat="1" ht="33.75" customHeight="1" x14ac:dyDescent="0.2">
      <c r="A58" s="429"/>
      <c r="B58" s="429"/>
      <c r="C58" s="545"/>
      <c r="D58" s="435"/>
      <c r="E58" s="435"/>
      <c r="F58" s="435"/>
      <c r="G58" s="435"/>
      <c r="H58" s="435"/>
      <c r="I58" s="435"/>
      <c r="J58" s="435"/>
      <c r="K58" s="435"/>
      <c r="L58" s="435"/>
      <c r="M58" s="435"/>
      <c r="N58" s="435"/>
      <c r="O58" s="435"/>
      <c r="P58" s="435"/>
      <c r="Q58" s="435"/>
    </row>
    <row r="60" spans="1:22" ht="25.5" customHeight="1" x14ac:dyDescent="0.2"/>
    <row r="61" spans="1:22" ht="17.25" customHeight="1" x14ac:dyDescent="0.2"/>
    <row r="62" spans="1:22" ht="26.25" customHeight="1" x14ac:dyDescent="0.2"/>
    <row r="63" spans="1:22" ht="26.25" customHeight="1" x14ac:dyDescent="0.2">
      <c r="V63" s="510"/>
    </row>
    <row r="64" spans="1:22" ht="61.5" customHeight="1" x14ac:dyDescent="0.2"/>
    <row r="65" ht="14.25" customHeight="1" x14ac:dyDescent="0.2"/>
    <row r="68" ht="27.75" customHeight="1" x14ac:dyDescent="0.2"/>
    <row r="69" ht="30" customHeight="1" x14ac:dyDescent="0.2"/>
    <row r="73" ht="41.25" customHeight="1" x14ac:dyDescent="0.2"/>
    <row r="74" ht="15" customHeight="1" x14ac:dyDescent="0.2"/>
    <row r="76" ht="15.75" customHeight="1" x14ac:dyDescent="0.2"/>
    <row r="78" ht="24" customHeight="1" x14ac:dyDescent="0.2"/>
    <row r="79" ht="21.75" customHeight="1" x14ac:dyDescent="0.2"/>
    <row r="80" ht="21.75" customHeight="1" x14ac:dyDescent="0.2"/>
    <row r="81" ht="22.5" customHeight="1" x14ac:dyDescent="0.2"/>
    <row r="82" ht="28.5" customHeight="1" x14ac:dyDescent="0.2"/>
  </sheetData>
  <mergeCells count="41">
    <mergeCell ref="C50:G50"/>
    <mergeCell ref="C51:F51"/>
    <mergeCell ref="C52:G52"/>
    <mergeCell ref="C45:D45"/>
    <mergeCell ref="C46:D46"/>
    <mergeCell ref="E46:F46"/>
    <mergeCell ref="C47:G47"/>
    <mergeCell ref="C48:G48"/>
    <mergeCell ref="C49:G49"/>
    <mergeCell ref="C41:D41"/>
    <mergeCell ref="E41:F41"/>
    <mergeCell ref="D42:F42"/>
    <mergeCell ref="D43:E43"/>
    <mergeCell ref="F43:G43"/>
    <mergeCell ref="C44:E44"/>
    <mergeCell ref="C31:D31"/>
    <mergeCell ref="C32:D32"/>
    <mergeCell ref="C35:D35"/>
    <mergeCell ref="C36:D36"/>
    <mergeCell ref="C37:D37"/>
    <mergeCell ref="C40:F40"/>
    <mergeCell ref="C17:G17"/>
    <mergeCell ref="C18:D18"/>
    <mergeCell ref="E18:G18"/>
    <mergeCell ref="C24:G24"/>
    <mergeCell ref="F25:G25"/>
    <mergeCell ref="C30:D30"/>
    <mergeCell ref="E10:G10"/>
    <mergeCell ref="E11:G11"/>
    <mergeCell ref="E12:G12"/>
    <mergeCell ref="E13:G13"/>
    <mergeCell ref="E14:G14"/>
    <mergeCell ref="C15:C16"/>
    <mergeCell ref="E15:G15"/>
    <mergeCell ref="E16:G16"/>
    <mergeCell ref="D1:G1"/>
    <mergeCell ref="D2:E2"/>
    <mergeCell ref="D3:G3"/>
    <mergeCell ref="D4:F4"/>
    <mergeCell ref="E8:G8"/>
    <mergeCell ref="E9:G9"/>
  </mergeCells>
  <dataValidations count="2">
    <dataValidation type="list" allowBlank="1" showInputMessage="1" showErrorMessage="1" sqref="C31">
      <formula1>_options24</formula1>
    </dataValidation>
    <dataValidation type="list" allowBlank="1" showInputMessage="1" showErrorMessage="1" sqref="F35">
      <formula1>$M$33:$N$33</formula1>
    </dataValidation>
  </dataValidations>
  <hyperlinks>
    <hyperlink ref="C11" r:id="rId1"/>
    <hyperlink ref="D11" r:id="rId2"/>
    <hyperlink ref="D12" r:id="rId3"/>
    <hyperlink ref="C36:D36" r:id="rId4" display="Sorry but USA orders ONLY!"/>
    <hyperlink ref="C7" r:id="rId5" display="http://www.old-photo.com/pages/movies-for-slide-preparation.htm"/>
  </hyperlinks>
  <printOptions gridLines="1"/>
  <pageMargins left="0.75" right="0.75" top="1" bottom="1" header="0.5" footer="0.5"/>
  <pageSetup scale="110" orientation="portrait" horizontalDpi="4294967293" verticalDpi="0" r:id="rId6"/>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14337" r:id="rId9" name="Check Box 1">
              <controlPr defaultSize="0" autoFill="0" autoLine="0" autoPict="0" altText="Check to pay WI tax.">
                <anchor moveWithCells="1">
                  <from>
                    <xdr:col>4</xdr:col>
                    <xdr:colOff>28575</xdr:colOff>
                    <xdr:row>38</xdr:row>
                    <xdr:rowOff>19050</xdr:rowOff>
                  </from>
                  <to>
                    <xdr:col>4</xdr:col>
                    <xdr:colOff>333375</xdr:colOff>
                    <xdr:row>38</xdr:row>
                    <xdr:rowOff>238125</xdr:rowOff>
                  </to>
                </anchor>
              </controlPr>
            </control>
          </mc:Choice>
        </mc:AlternateContent>
        <mc:AlternateContent xmlns:mc="http://schemas.openxmlformats.org/markup-compatibility/2006">
          <mc:Choice Requires="x14">
            <control shapeId="14338" r:id="rId10" name="Check Box 2">
              <controlPr defaultSize="0" autoFill="0" autoLine="0" autoPict="0" altText="Check to have signnature delivery.">
                <anchor moveWithCells="1">
                  <from>
                    <xdr:col>4</xdr:col>
                    <xdr:colOff>9525</xdr:colOff>
                    <xdr:row>36</xdr:row>
                    <xdr:rowOff>228600</xdr:rowOff>
                  </from>
                  <to>
                    <xdr:col>4</xdr:col>
                    <xdr:colOff>314325</xdr:colOff>
                    <xdr:row>36</xdr:row>
                    <xdr:rowOff>447675</xdr:rowOff>
                  </to>
                </anchor>
              </controlPr>
            </control>
          </mc:Choice>
        </mc:AlternateContent>
        <mc:AlternateContent xmlns:mc="http://schemas.openxmlformats.org/markup-compatibility/2006">
          <mc:Choice Requires="x14">
            <control shapeId="14339" r:id="rId11" name="Check Box 3">
              <controlPr defaultSize="0" autoFill="0" autoLine="0" autoPict="0" altText="Check to pay WI tax.">
                <anchor moveWithCells="1" sizeWithCells="1">
                  <from>
                    <xdr:col>4</xdr:col>
                    <xdr:colOff>104775</xdr:colOff>
                    <xdr:row>31</xdr:row>
                    <xdr:rowOff>171450</xdr:rowOff>
                  </from>
                  <to>
                    <xdr:col>4</xdr:col>
                    <xdr:colOff>428625</xdr:colOff>
                    <xdr:row>31</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5" sqref="B5"/>
    </sheetView>
  </sheetViews>
  <sheetFormatPr defaultRowHeight="18" x14ac:dyDescent="0.25"/>
  <cols>
    <col min="1" max="1" width="38.6328125" style="128" customWidth="1"/>
    <col min="2" max="2" width="17" style="129" bestFit="1" customWidth="1"/>
    <col min="3" max="6" width="8.7265625" style="128"/>
    <col min="7" max="7" width="10.7265625" style="128" customWidth="1"/>
    <col min="8" max="16384" width="8.7265625" style="128"/>
  </cols>
  <sheetData>
    <row r="1" spans="1:2" ht="18" customHeight="1" x14ac:dyDescent="0.25">
      <c r="A1" s="425" t="s">
        <v>136</v>
      </c>
      <c r="B1" s="426"/>
    </row>
    <row r="2" spans="1:2" x14ac:dyDescent="0.25">
      <c r="A2" s="152" t="s">
        <v>135</v>
      </c>
      <c r="B2" s="150" t="s">
        <v>125</v>
      </c>
    </row>
    <row r="3" spans="1:2" x14ac:dyDescent="0.25">
      <c r="A3" s="153"/>
      <c r="B3" s="150"/>
    </row>
    <row r="4" spans="1:2" x14ac:dyDescent="0.25">
      <c r="A4" s="154" t="s">
        <v>200</v>
      </c>
      <c r="B4" s="186" t="s">
        <v>142</v>
      </c>
    </row>
    <row r="5" spans="1:2" x14ac:dyDescent="0.25">
      <c r="A5" s="154" t="s">
        <v>206</v>
      </c>
      <c r="B5" s="150"/>
    </row>
    <row r="6" spans="1:2" x14ac:dyDescent="0.25">
      <c r="A6" s="154" t="s">
        <v>134</v>
      </c>
      <c r="B6" s="186" t="s">
        <v>142</v>
      </c>
    </row>
    <row r="7" spans="1:2" x14ac:dyDescent="0.25">
      <c r="A7" s="154" t="s">
        <v>141</v>
      </c>
      <c r="B7" s="186" t="s">
        <v>142</v>
      </c>
    </row>
    <row r="8" spans="1:2" x14ac:dyDescent="0.25">
      <c r="A8" s="155" t="s">
        <v>140</v>
      </c>
      <c r="B8" s="151" t="s">
        <v>142</v>
      </c>
    </row>
    <row r="11" spans="1:2" x14ac:dyDescent="0.25">
      <c r="A11" s="130" t="s">
        <v>174</v>
      </c>
    </row>
    <row r="12" spans="1:2" x14ac:dyDescent="0.25">
      <c r="A12" s="148" t="s">
        <v>126</v>
      </c>
    </row>
    <row r="13" spans="1:2" x14ac:dyDescent="0.25">
      <c r="A13" s="149" t="s">
        <v>143</v>
      </c>
    </row>
    <row r="17" spans="1:9" x14ac:dyDescent="0.25">
      <c r="A17" s="156" t="s">
        <v>137</v>
      </c>
    </row>
    <row r="20" spans="1:9" x14ac:dyDescent="0.25">
      <c r="B20" s="157" t="s">
        <v>138</v>
      </c>
      <c r="C20" s="158"/>
      <c r="D20" s="158"/>
      <c r="E20" s="158"/>
      <c r="F20" s="158"/>
      <c r="G20" s="158"/>
      <c r="H20" s="158"/>
      <c r="I20" s="159"/>
    </row>
    <row r="21" spans="1:9" ht="15.75" thickBot="1" x14ac:dyDescent="0.25">
      <c r="B21" s="160"/>
      <c r="C21" s="23"/>
      <c r="D21" s="23"/>
      <c r="E21" s="23" t="s">
        <v>22</v>
      </c>
      <c r="F21" s="23" t="s">
        <v>23</v>
      </c>
      <c r="G21" s="23" t="s">
        <v>24</v>
      </c>
      <c r="H21" s="23" t="s">
        <v>25</v>
      </c>
      <c r="I21" s="161" t="s">
        <v>26</v>
      </c>
    </row>
    <row r="22" spans="1:9" ht="15.75" thickBot="1" x14ac:dyDescent="0.25">
      <c r="B22" s="162" t="b">
        <v>0</v>
      </c>
      <c r="C22" s="125" t="s">
        <v>201</v>
      </c>
      <c r="D22" s="125"/>
      <c r="E22" s="163">
        <f>'Slides and Prints Scanning'!D34</f>
        <v>0</v>
      </c>
      <c r="F22" s="23">
        <v>100</v>
      </c>
      <c r="G22" s="23">
        <f>E22/F22</f>
        <v>0</v>
      </c>
      <c r="H22" s="23">
        <f>CEILING(G22,4)</f>
        <v>0</v>
      </c>
      <c r="I22" s="161">
        <f>IF(E22=0,0,IF(G22&lt;=4,4,IF(G22&lt;=8,8,IF(G22&lt;=16,16,IF(G22&lt;=32,32,IF(G22&lt;=64,64,IF(G22&lt;=128,128,"Not an Option")))))))</f>
        <v>0</v>
      </c>
    </row>
    <row r="23" spans="1:9" ht="15" x14ac:dyDescent="0.2">
      <c r="B23" s="164" t="b">
        <v>0</v>
      </c>
      <c r="C23" s="165" t="s">
        <v>202</v>
      </c>
      <c r="D23" s="165"/>
      <c r="E23" s="166"/>
      <c r="F23" s="167">
        <f>G22</f>
        <v>0</v>
      </c>
      <c r="G23" s="168" t="s">
        <v>204</v>
      </c>
      <c r="H23" s="169"/>
      <c r="I23" s="33">
        <f>ROUNDUP(G22,1)</f>
        <v>0</v>
      </c>
    </row>
    <row r="24" spans="1:9" ht="15" x14ac:dyDescent="0.2">
      <c r="B24" s="2"/>
      <c r="C24" s="2"/>
      <c r="D24" s="21"/>
      <c r="E24" s="2"/>
      <c r="F24" s="2"/>
      <c r="G24" s="2"/>
      <c r="H24" s="2"/>
    </row>
    <row r="25" spans="1:9" ht="15" x14ac:dyDescent="0.2">
      <c r="B25" s="2"/>
      <c r="C25" s="2"/>
      <c r="D25" s="2"/>
      <c r="E25" s="2"/>
      <c r="F25" s="2"/>
      <c r="H25" s="2"/>
      <c r="I25" s="2"/>
    </row>
    <row r="26" spans="1:9" x14ac:dyDescent="0.25">
      <c r="B26" s="157" t="s">
        <v>133</v>
      </c>
      <c r="C26" s="170"/>
      <c r="D26" s="170"/>
      <c r="E26" s="170"/>
      <c r="F26" s="170"/>
      <c r="G26" s="170">
        <f>('Slides and Prints Scanning'!F62*G29)</f>
        <v>0</v>
      </c>
      <c r="H26" s="171" t="str">
        <f>+'Slides and Prints Scanning'!A6-'Slides and Prints Scanning'!A5&amp;" days"</f>
        <v>1 days</v>
      </c>
      <c r="I26" s="2"/>
    </row>
    <row r="27" spans="1:9" ht="15.75" thickBot="1" x14ac:dyDescent="0.25">
      <c r="B27" s="172"/>
      <c r="C27" s="23"/>
      <c r="D27" s="23"/>
      <c r="E27" s="23"/>
      <c r="F27" s="23"/>
      <c r="G27" s="173" t="s">
        <v>64</v>
      </c>
      <c r="H27" s="161" t="s">
        <v>46</v>
      </c>
      <c r="I27" s="2"/>
    </row>
    <row r="28" spans="1:9" ht="15" x14ac:dyDescent="0.2">
      <c r="B28" s="66"/>
      <c r="C28" s="66" t="s">
        <v>103</v>
      </c>
      <c r="D28" s="66" t="s">
        <v>102</v>
      </c>
      <c r="E28" s="66" t="s">
        <v>101</v>
      </c>
      <c r="F28" s="66" t="s">
        <v>46</v>
      </c>
      <c r="G28" s="67" t="s">
        <v>104</v>
      </c>
      <c r="H28" s="174" t="s">
        <v>44</v>
      </c>
      <c r="I28" s="2"/>
    </row>
    <row r="29" spans="1:9" ht="15" x14ac:dyDescent="0.2">
      <c r="B29" s="80">
        <f>SUM(C29+D29+E29)</f>
        <v>0</v>
      </c>
      <c r="C29" s="80">
        <f>IF('Slides and Prints Scanning'!F42=0,0,IF('Slides and Prints Scanning'!F42&lt;20,1.9,IF('Slides and Prints Scanning'!F42&lt;50,2.4,IF('Slides and Prints Scanning'!F42&lt;101,2.9,IF('Slides and Prints Scanning'!F42&lt;201,3.5,IF('Slides and Prints Scanning'!F42&lt;301,4.4,IF('Slides and Prints Scanning'!F42&lt;401,5.4,IF('Slides and Prints Scanning'!F42&lt;501,6.4,"7.4"))))))))</f>
        <v>0</v>
      </c>
      <c r="D29" s="80">
        <f>IF('Slides and Prints Scanning'!F44&gt;0,2,0)</f>
        <v>0</v>
      </c>
      <c r="E29" s="175">
        <f>IF('Slides and Prints Scanning'!F62=0,0,IF('Slides and Prints Scanning'!E64="Local Pickup",0,IF('Slides and Prints Scanning'!E64="Priority Mail",IF('Slides and Prints Scanning'!F34&lt;=39,F29,F29+('Slides and Prints Scanning'!F34*G29)))))</f>
        <v>0</v>
      </c>
      <c r="F29" s="9">
        <v>7.8</v>
      </c>
      <c r="G29" s="176">
        <v>0.03</v>
      </c>
      <c r="H29" s="177">
        <f>IF('Slides and Prints Scanning'!F60&lt;=50,9,('Slides and Prints Scanning'!F60*0.02)+9)</f>
        <v>9</v>
      </c>
      <c r="I29" s="17"/>
    </row>
    <row r="30" spans="1:9" ht="15" x14ac:dyDescent="0.2">
      <c r="B30" s="73"/>
      <c r="C30" s="73"/>
      <c r="D30" s="73"/>
      <c r="E30" s="74"/>
      <c r="F30" s="75"/>
      <c r="G30" s="23"/>
      <c r="H30" s="24"/>
      <c r="I30" s="17"/>
    </row>
    <row r="31" spans="1:9" ht="15" x14ac:dyDescent="0.2">
      <c r="B31" s="73"/>
      <c r="C31" s="73"/>
      <c r="D31" s="73"/>
      <c r="E31" s="118"/>
      <c r="F31" s="75"/>
      <c r="G31" s="23"/>
      <c r="H31" s="24"/>
      <c r="I31" s="17"/>
    </row>
    <row r="32" spans="1:9" x14ac:dyDescent="0.25">
      <c r="B32" s="157" t="s">
        <v>205</v>
      </c>
      <c r="C32" s="158"/>
      <c r="D32" s="158"/>
      <c r="E32" s="159"/>
    </row>
    <row r="33" spans="2:5" ht="15" x14ac:dyDescent="0.2">
      <c r="B33" s="178" t="s">
        <v>99</v>
      </c>
      <c r="C33" s="23" t="s">
        <v>96</v>
      </c>
      <c r="D33" s="23" t="s">
        <v>203</v>
      </c>
      <c r="E33" s="161"/>
    </row>
    <row r="34" spans="2:5" ht="33.75" x14ac:dyDescent="0.2">
      <c r="B34" s="179">
        <f>ROUNDUP((('Slides and Prints Scanning'!D34))/400,0)</f>
        <v>0</v>
      </c>
      <c r="C34" s="169">
        <f>ROUNDUP((('Slides and Prints Scanning'!D34))/350,0)</f>
        <v>0</v>
      </c>
      <c r="D34" s="169">
        <f>ROUNDUP((('Slides and Prints Scanning'!D34))/100,0)</f>
        <v>0</v>
      </c>
      <c r="E34" s="180" t="str">
        <f>"Size Flash Drv. to send with order = "&amp;ROUNDUP((('Slides and Prints Scanning'!D34))/300,0)&amp;" Gigs"</f>
        <v>Size Flash Drv. to send with order = 0 Gigs</v>
      </c>
    </row>
    <row r="37" spans="2:5" ht="47.25" x14ac:dyDescent="0.25">
      <c r="B37" s="181" t="s">
        <v>139</v>
      </c>
      <c r="C37" s="293" t="s">
        <v>207</v>
      </c>
    </row>
    <row r="38" spans="2:5" x14ac:dyDescent="0.25">
      <c r="B38" s="182">
        <f>SUM(ROUNDUP(B39,1)+1)</f>
        <v>1</v>
      </c>
      <c r="C38" s="183">
        <f>SUM(ROUNDUP(C39,0))</f>
        <v>0</v>
      </c>
    </row>
    <row r="39" spans="2:5" x14ac:dyDescent="0.25">
      <c r="B39" s="184">
        <f>('Slides and Prints Scanning'!D34/450)</f>
        <v>0</v>
      </c>
      <c r="C39" s="185">
        <f>ROUNDUP((('Slides and Prints Scanning'!D34))/300,1)</f>
        <v>0</v>
      </c>
    </row>
  </sheetData>
  <mergeCells count="1">
    <mergeCell ref="A1:B1"/>
  </mergeCells>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5" sqref="C5"/>
    </sheetView>
  </sheetViews>
  <sheetFormatPr defaultRowHeight="15" x14ac:dyDescent="0.2"/>
  <cols>
    <col min="1" max="1" width="8.7265625" style="128"/>
    <col min="2" max="2" width="34.36328125" style="128" customWidth="1"/>
    <col min="3" max="3" width="8.7265625" style="128"/>
    <col min="4" max="4" width="9.08984375" style="128" bestFit="1" customWidth="1"/>
    <col min="5" max="5" width="8.08984375" style="128" bestFit="1" customWidth="1"/>
    <col min="6" max="16384" width="8.7265625" style="128"/>
  </cols>
  <sheetData>
    <row r="2" spans="2:5" ht="15.75" x14ac:dyDescent="0.25">
      <c r="B2" s="130" t="s">
        <v>128</v>
      </c>
      <c r="E2" s="131">
        <f ca="1">TODAY()</f>
        <v>42276</v>
      </c>
    </row>
    <row r="3" spans="2:5" ht="15.75" thickBot="1" x14ac:dyDescent="0.25"/>
    <row r="4" spans="2:5" ht="15.75" x14ac:dyDescent="0.25">
      <c r="B4" s="132" t="s">
        <v>132</v>
      </c>
      <c r="C4" s="133" t="s">
        <v>125</v>
      </c>
      <c r="D4" s="133" t="s">
        <v>129</v>
      </c>
      <c r="E4" s="134" t="s">
        <v>130</v>
      </c>
    </row>
    <row r="5" spans="2:5" ht="18" x14ac:dyDescent="0.25">
      <c r="B5" s="135"/>
      <c r="C5" s="136"/>
      <c r="D5" s="137"/>
      <c r="E5" s="138" t="str">
        <f>IF(C5="","",IF(C5="free","",C5*D5))</f>
        <v/>
      </c>
    </row>
    <row r="6" spans="2:5" x14ac:dyDescent="0.2">
      <c r="B6" s="139"/>
      <c r="C6" s="140"/>
      <c r="D6" s="141"/>
      <c r="E6" s="142" t="str">
        <f t="shared" ref="E6:E12" si="0">IF(C6="","",C6*D6)</f>
        <v/>
      </c>
    </row>
    <row r="7" spans="2:5" x14ac:dyDescent="0.2">
      <c r="B7" s="139"/>
      <c r="C7" s="140"/>
      <c r="D7" s="141"/>
      <c r="E7" s="142" t="str">
        <f t="shared" si="0"/>
        <v/>
      </c>
    </row>
    <row r="8" spans="2:5" ht="15.75" x14ac:dyDescent="0.25">
      <c r="B8" s="143" t="s">
        <v>131</v>
      </c>
      <c r="C8" s="140"/>
      <c r="D8" s="141"/>
      <c r="E8" s="142" t="str">
        <f t="shared" si="0"/>
        <v/>
      </c>
    </row>
    <row r="9" spans="2:5" x14ac:dyDescent="0.2">
      <c r="B9" s="139" t="s">
        <v>127</v>
      </c>
      <c r="C9" s="140"/>
      <c r="D9" s="141"/>
      <c r="E9" s="142"/>
    </row>
    <row r="10" spans="2:5" x14ac:dyDescent="0.2">
      <c r="B10" s="139">
        <f>IF(B9="I do not want duplicates","",B5)</f>
        <v>0</v>
      </c>
      <c r="C10" s="140" t="str">
        <f>IF(B9="I do not want duplicates","",IF(C5="Free",10,IF(C5="","",C5)))</f>
        <v/>
      </c>
      <c r="D10" s="141"/>
      <c r="E10" s="142" t="str">
        <f>IF(C10="","",C10*D10)</f>
        <v/>
      </c>
    </row>
    <row r="11" spans="2:5" x14ac:dyDescent="0.2">
      <c r="B11" s="139"/>
      <c r="C11" s="140"/>
      <c r="D11" s="141"/>
      <c r="E11" s="142" t="str">
        <f t="shared" si="0"/>
        <v/>
      </c>
    </row>
    <row r="12" spans="2:5" ht="15.75" thickBot="1" x14ac:dyDescent="0.25">
      <c r="B12" s="144"/>
      <c r="C12" s="145"/>
      <c r="D12" s="146"/>
      <c r="E12" s="147" t="str">
        <f t="shared" si="0"/>
        <v/>
      </c>
    </row>
  </sheetData>
  <pageMargins left="0.75" right="0.75" top="1" bottom="1" header="0.5" footer="0.5"/>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 sqref="C3"/>
    </sheetView>
  </sheetViews>
  <sheetFormatPr defaultRowHeight="18" x14ac:dyDescent="0.25"/>
  <sheetData>
    <row r="1" spans="1:4" x14ac:dyDescent="0.25">
      <c r="A1" t="s">
        <v>19</v>
      </c>
      <c r="B1" t="s">
        <v>20</v>
      </c>
      <c r="C1" t="s">
        <v>21</v>
      </c>
    </row>
    <row r="2" spans="1:4" x14ac:dyDescent="0.25">
      <c r="A2">
        <v>1</v>
      </c>
      <c r="B2">
        <v>1000000</v>
      </c>
      <c r="C2">
        <f>B2/100</f>
        <v>10000</v>
      </c>
      <c r="D2">
        <f>B2/C2</f>
        <v>100</v>
      </c>
    </row>
    <row r="3" spans="1:4" x14ac:dyDescent="0.25">
      <c r="A3">
        <v>1</v>
      </c>
      <c r="B3">
        <v>1000000</v>
      </c>
      <c r="C3">
        <f>B3/100</f>
        <v>10000</v>
      </c>
      <c r="D3">
        <f>B3/C3</f>
        <v>100</v>
      </c>
    </row>
    <row r="4" spans="1:4" x14ac:dyDescent="0.25">
      <c r="A4">
        <v>1</v>
      </c>
      <c r="B4">
        <v>1000000</v>
      </c>
      <c r="C4">
        <f>B4/100</f>
        <v>10000</v>
      </c>
      <c r="D4">
        <f>B4/C4</f>
        <v>100</v>
      </c>
    </row>
    <row r="5" spans="1:4" x14ac:dyDescent="0.25">
      <c r="A5">
        <v>1</v>
      </c>
      <c r="B5">
        <v>1000000</v>
      </c>
      <c r="C5">
        <f>B5/100</f>
        <v>10000</v>
      </c>
      <c r="D5">
        <f>B5/C5</f>
        <v>100</v>
      </c>
    </row>
    <row r="6" spans="1:4" x14ac:dyDescent="0.25">
      <c r="A6">
        <v>1</v>
      </c>
      <c r="B6">
        <v>1000000</v>
      </c>
      <c r="C6">
        <f>B6/100</f>
        <v>10000</v>
      </c>
      <c r="D6">
        <f>B6/C6</f>
        <v>100</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54"/>
  <sheetViews>
    <sheetView workbookViewId="0">
      <selection activeCell="A24" sqref="A24"/>
    </sheetView>
  </sheetViews>
  <sheetFormatPr defaultRowHeight="18" x14ac:dyDescent="0.25"/>
  <cols>
    <col min="1" max="1" width="66.54296875" customWidth="1"/>
  </cols>
  <sheetData>
    <row r="1" spans="1:2" x14ac:dyDescent="0.25">
      <c r="A1" s="1"/>
    </row>
    <row r="2" spans="1:2" x14ac:dyDescent="0.25">
      <c r="A2" s="1"/>
    </row>
    <row r="3" spans="1:2" x14ac:dyDescent="0.25">
      <c r="A3" s="1" t="s">
        <v>39</v>
      </c>
      <c r="B3" t="b">
        <v>1</v>
      </c>
    </row>
    <row r="4" spans="1:2" x14ac:dyDescent="0.25">
      <c r="A4" s="1"/>
    </row>
    <row r="5" spans="1:2" x14ac:dyDescent="0.25">
      <c r="A5" s="1"/>
    </row>
    <row r="18" spans="1:1" x14ac:dyDescent="0.25">
      <c r="A18" s="1"/>
    </row>
    <row r="23" spans="1:1" x14ac:dyDescent="0.25">
      <c r="A23" s="1"/>
    </row>
    <row r="29" spans="1:1" x14ac:dyDescent="0.25">
      <c r="A29" s="1"/>
    </row>
    <row r="30" spans="1:1" x14ac:dyDescent="0.25">
      <c r="A30" s="1"/>
    </row>
    <row r="31" spans="1:1" x14ac:dyDescent="0.25">
      <c r="A31" s="1"/>
    </row>
    <row r="54" spans="4:4" x14ac:dyDescent="0.25">
      <c r="D54" t="b">
        <v>0</v>
      </c>
    </row>
  </sheetData>
  <phoneticPr fontId="0" type="noConversion"/>
  <pageMargins left="0.75" right="0.75" top="1" bottom="1" header="0.5" footer="0.5"/>
  <pageSetup scale="76" orientation="portrait"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Check to pay WI tax.">
                <anchor moveWithCells="1">
                  <from>
                    <xdr:col>0</xdr:col>
                    <xdr:colOff>5210175</xdr:colOff>
                    <xdr:row>5</xdr:row>
                    <xdr:rowOff>104775</xdr:rowOff>
                  </from>
                  <to>
                    <xdr:col>0</xdr:col>
                    <xdr:colOff>5514975</xdr:colOff>
                    <xdr:row>6</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B1" sqref="B1"/>
    </sheetView>
  </sheetViews>
  <sheetFormatPr defaultRowHeight="18" x14ac:dyDescent="0.25"/>
  <cols>
    <col min="1" max="1" width="101.1796875" customWidth="1"/>
  </cols>
  <sheetData>
    <row r="1" spans="1:1" ht="409.5" customHeight="1" x14ac:dyDescent="0.25">
      <c r="A1" s="1" t="s">
        <v>27</v>
      </c>
    </row>
    <row r="2" spans="1:1" ht="409.5" x14ac:dyDescent="0.25">
      <c r="A2" s="1" t="s">
        <v>68</v>
      </c>
    </row>
    <row r="3" spans="1:1" ht="409.5" x14ac:dyDescent="0.25">
      <c r="A3" s="1" t="s">
        <v>69</v>
      </c>
    </row>
  </sheetData>
  <phoneticPr fontId="2" type="noConversion"/>
  <pageMargins left="0.75" right="0.75" top="1" bottom="1" header="0.5" footer="0.5"/>
  <pageSetup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
  <sheetViews>
    <sheetView workbookViewId="0">
      <selection activeCell="B1" sqref="B1"/>
    </sheetView>
  </sheetViews>
  <sheetFormatPr defaultRowHeight="18" x14ac:dyDescent="0.25"/>
  <cols>
    <col min="1" max="1" width="72.7265625" customWidth="1"/>
  </cols>
  <sheetData>
    <row r="1" spans="1:1" ht="30" x14ac:dyDescent="0.4">
      <c r="A1" s="32" t="s">
        <v>86</v>
      </c>
    </row>
    <row r="2" spans="1:1" ht="54" x14ac:dyDescent="0.25">
      <c r="A2" s="1" t="s">
        <v>85</v>
      </c>
    </row>
  </sheetData>
  <phoneticPr fontId="2" type="noConversion"/>
  <pageMargins left="0.75" right="0.75" top="1" bottom="1" header="0.5" footer="0.5"/>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35"/>
  <sheetViews>
    <sheetView topLeftCell="A10" workbookViewId="0">
      <selection activeCell="B26" sqref="B26"/>
    </sheetView>
  </sheetViews>
  <sheetFormatPr defaultRowHeight="18" x14ac:dyDescent="0.25"/>
  <cols>
    <col min="1" max="1" width="72.36328125" style="29" customWidth="1"/>
    <col min="2" max="2" width="72.36328125" customWidth="1"/>
  </cols>
  <sheetData>
    <row r="1" spans="1:1" ht="30" x14ac:dyDescent="0.25">
      <c r="A1" s="28" t="s">
        <v>71</v>
      </c>
    </row>
    <row r="4" spans="1:1" ht="54" x14ac:dyDescent="0.25">
      <c r="A4" s="29" t="s">
        <v>72</v>
      </c>
    </row>
    <row r="6" spans="1:1" x14ac:dyDescent="0.25">
      <c r="A6" s="29" t="s">
        <v>73</v>
      </c>
    </row>
    <row r="7" spans="1:1" ht="36" x14ac:dyDescent="0.25">
      <c r="A7" s="29" t="s">
        <v>74</v>
      </c>
    </row>
    <row r="9" spans="1:1" x14ac:dyDescent="0.25">
      <c r="A9" s="29" t="s">
        <v>75</v>
      </c>
    </row>
    <row r="11" spans="1:1" ht="36" x14ac:dyDescent="0.25">
      <c r="A11" s="29" t="s">
        <v>76</v>
      </c>
    </row>
    <row r="12" spans="1:1" x14ac:dyDescent="0.25">
      <c r="A12" s="29" t="s">
        <v>77</v>
      </c>
    </row>
    <row r="13" spans="1:1" x14ac:dyDescent="0.25">
      <c r="A13" s="29" t="s">
        <v>78</v>
      </c>
    </row>
    <row r="15" spans="1:1" ht="90" x14ac:dyDescent="0.25">
      <c r="A15" s="29" t="s">
        <v>79</v>
      </c>
    </row>
    <row r="17" spans="1:2" ht="41.25" customHeight="1" x14ac:dyDescent="0.25">
      <c r="A17" s="29" t="s">
        <v>80</v>
      </c>
    </row>
    <row r="19" spans="1:2" ht="72" x14ac:dyDescent="0.25">
      <c r="A19" s="29" t="s">
        <v>81</v>
      </c>
    </row>
    <row r="20" spans="1:2" x14ac:dyDescent="0.25">
      <c r="B20" s="30">
        <v>1</v>
      </c>
    </row>
    <row r="32" spans="1:2" x14ac:dyDescent="0.25">
      <c r="A32" s="29" t="s">
        <v>82</v>
      </c>
    </row>
    <row r="34" spans="1:1" ht="54" x14ac:dyDescent="0.25">
      <c r="A34" s="29" t="s">
        <v>83</v>
      </c>
    </row>
    <row r="35" spans="1:1" ht="409.5" x14ac:dyDescent="0.25">
      <c r="A35" s="29" t="s">
        <v>84</v>
      </c>
    </row>
  </sheetData>
  <phoneticPr fontId="2" type="noConversion"/>
  <pageMargins left="0.75" right="0.75" top="1" bottom="1" header="0.5" footer="0.5"/>
  <pageSetup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3" r:id="rId4" name="Group Box 7">
              <controlPr defaultSize="0" autoFill="0" autoPict="0">
                <anchor moveWithCells="1">
                  <from>
                    <xdr:col>1</xdr:col>
                    <xdr:colOff>1962150</xdr:colOff>
                    <xdr:row>14</xdr:row>
                    <xdr:rowOff>666750</xdr:rowOff>
                  </from>
                  <to>
                    <xdr:col>1</xdr:col>
                    <xdr:colOff>3648075</xdr:colOff>
                    <xdr:row>18</xdr:row>
                    <xdr:rowOff>228600</xdr:rowOff>
                  </to>
                </anchor>
              </controlPr>
            </control>
          </mc:Choice>
        </mc:AlternateContent>
        <mc:AlternateContent xmlns:mc="http://schemas.openxmlformats.org/markup-compatibility/2006">
          <mc:Choice Requires="x14">
            <control shapeId="4104" r:id="rId5" name="Option Button 8">
              <controlPr defaultSize="0" autoFill="0" autoLine="0" autoPict="0">
                <anchor moveWithCells="1">
                  <from>
                    <xdr:col>1</xdr:col>
                    <xdr:colOff>2228850</xdr:colOff>
                    <xdr:row>14</xdr:row>
                    <xdr:rowOff>1123950</xdr:rowOff>
                  </from>
                  <to>
                    <xdr:col>1</xdr:col>
                    <xdr:colOff>3038475</xdr:colOff>
                    <xdr:row>16</xdr:row>
                    <xdr:rowOff>114300</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xdr:col>
                    <xdr:colOff>2171700</xdr:colOff>
                    <xdr:row>16</xdr:row>
                    <xdr:rowOff>266700</xdr:rowOff>
                  </from>
                  <to>
                    <xdr:col>1</xdr:col>
                    <xdr:colOff>3143250</xdr:colOff>
                    <xdr:row>17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Slides and Prints Scanning</vt:lpstr>
      <vt:lpstr>Slides to Prints</vt:lpstr>
      <vt:lpstr>Calculations</vt:lpstr>
      <vt:lpstr>Order Form</vt:lpstr>
      <vt:lpstr>test</vt:lpstr>
      <vt:lpstr>Control sheet</vt:lpstr>
      <vt:lpstr>Dropdown lists</vt:lpstr>
      <vt:lpstr>Conditional Formatting</vt:lpstr>
      <vt:lpstr>Group box with buttons</vt:lpstr>
      <vt:lpstr>Changes to make</vt:lpstr>
      <vt:lpstr>Check boxes</vt:lpstr>
      <vt:lpstr>_options1</vt:lpstr>
      <vt:lpstr>_options2</vt:lpstr>
      <vt:lpstr>_options3</vt:lpstr>
      <vt:lpstr>DiskList</vt:lpstr>
      <vt:lpstr>DiskLookup</vt:lpstr>
      <vt:lpstr>DuplicateSelections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Enigma</dc:creator>
  <cp:lastModifiedBy>ed</cp:lastModifiedBy>
  <cp:lastPrinted>2014-02-04T12:15:05Z</cp:lastPrinted>
  <dcterms:created xsi:type="dcterms:W3CDTF">2005-04-19T05:20:05Z</dcterms:created>
  <dcterms:modified xsi:type="dcterms:W3CDTF">2015-09-29T17:50:45Z</dcterms:modified>
</cp:coreProperties>
</file>